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if" ContentType="image/tiff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volodko\Desktop\"/>
    </mc:Choice>
  </mc:AlternateContent>
  <xr:revisionPtr revIDLastSave="0" documentId="8_{141235E8-2C35-45E7-B480-E9F0196C4A03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9" i="1" l="1"/>
  <c r="D31" i="1"/>
  <c r="D5" i="1"/>
  <c r="D30" i="1"/>
  <c r="D3" i="1"/>
  <c r="D6" i="1"/>
  <c r="D4" i="1"/>
  <c r="N3" i="1"/>
  <c r="N6" i="1"/>
  <c r="N28" i="1"/>
  <c r="N31" i="1"/>
  <c r="N32" i="1"/>
  <c r="C35" i="1" s="1"/>
  <c r="D35" i="1" s="1"/>
  <c r="D33" i="1"/>
  <c r="D32" i="1"/>
  <c r="N29" i="1" l="1"/>
  <c r="H45" i="1" s="1"/>
  <c r="R48" i="1"/>
  <c r="P48" i="1"/>
  <c r="S48" i="1" a="1"/>
  <c r="S48" i="1" s="1"/>
  <c r="Q48" i="1" a="1"/>
  <c r="Q48" i="1" s="1"/>
  <c r="C38" i="1" a="1"/>
  <c r="C38" i="1" s="1"/>
  <c r="E39" i="1" a="1"/>
  <c r="E39" i="1" s="1"/>
  <c r="E38" i="1" a="1"/>
  <c r="E38" i="1" s="1"/>
  <c r="D40" i="1" a="1"/>
  <c r="D40" i="1" s="1"/>
  <c r="D39" i="1" a="1"/>
  <c r="D39" i="1" s="1"/>
  <c r="E40" i="1" a="1"/>
  <c r="E40" i="1" s="1"/>
  <c r="E42" i="1" a="1"/>
  <c r="E42" i="1" s="1"/>
  <c r="D38" i="1" a="1"/>
  <c r="D38" i="1" s="1"/>
  <c r="C39" i="1" a="1"/>
  <c r="C39" i="1" s="1"/>
  <c r="E41" i="1" a="1"/>
  <c r="E41" i="1" s="1"/>
  <c r="C42" i="1" l="1" a="1"/>
  <c r="C42" i="1" s="1"/>
  <c r="N37" i="1"/>
  <c r="F50" i="1" s="1"/>
  <c r="C40" i="1"/>
  <c r="C41" i="1" s="1"/>
  <c r="C45" i="1" l="1"/>
  <c r="D45" i="1"/>
  <c r="D41" i="1"/>
  <c r="D42" i="1"/>
  <c r="B44" i="1" l="1"/>
  <c r="C47" i="1"/>
  <c r="D49" i="1" l="1"/>
  <c r="D47" i="1"/>
  <c r="C49" i="1"/>
  <c r="C48" i="1"/>
  <c r="C46" i="1"/>
  <c r="D48" i="1"/>
  <c r="D46" i="1"/>
  <c r="D13" i="1" a="1"/>
  <c r="D13" i="1" s="1"/>
  <c r="C8" i="1"/>
  <c r="N4" i="1" s="1"/>
  <c r="H18" i="1" s="1"/>
  <c r="D15" i="1" l="1"/>
  <c r="D14" i="1"/>
  <c r="E15" i="1" a="1"/>
  <c r="E15" i="1" s="1"/>
  <c r="D12" i="1" a="1"/>
  <c r="D12" i="1" s="1"/>
  <c r="D8" i="1"/>
  <c r="S44" i="1" a="1"/>
  <c r="S44" i="1" s="1"/>
  <c r="R44" i="1"/>
  <c r="N8" i="1"/>
  <c r="C12" i="1" s="1" a="1"/>
  <c r="C12" i="1" s="1"/>
  <c r="E13" i="1" a="1"/>
  <c r="E13" i="1" s="1"/>
  <c r="Q44" i="1" a="1"/>
  <c r="Q44" i="1" s="1"/>
  <c r="C11" i="1" a="1"/>
  <c r="C11" i="1" s="1"/>
  <c r="D11" i="1" a="1"/>
  <c r="D11" i="1" s="1"/>
  <c r="E14" i="1" a="1"/>
  <c r="E14" i="1" s="1"/>
  <c r="E12" i="1" a="1"/>
  <c r="E12" i="1" s="1"/>
  <c r="P44" i="1"/>
  <c r="E11" i="1" a="1"/>
  <c r="E11" i="1" s="1"/>
  <c r="D18" i="1" l="1"/>
  <c r="D22" i="1" s="1"/>
  <c r="C15" i="1" a="1"/>
  <c r="C15" i="1" s="1"/>
  <c r="N9" i="1"/>
  <c r="F23" i="1" s="1"/>
  <c r="C18" i="1"/>
  <c r="C13" i="1"/>
  <c r="C14" i="1" s="1"/>
  <c r="D19" i="1" l="1"/>
  <c r="D20" i="1"/>
  <c r="D21" i="1"/>
  <c r="C21" i="1"/>
  <c r="B17" i="1"/>
  <c r="C19" i="1"/>
  <c r="C22" i="1"/>
  <c r="C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<sst xmlns="http://schemas.openxmlformats.org/spreadsheetml/2006/main" count="135" uniqueCount="38">
  <si>
    <t>ширина, мм</t>
  </si>
  <si>
    <t>артикул</t>
  </si>
  <si>
    <t>примечание</t>
  </si>
  <si>
    <t>длина,мм</t>
  </si>
  <si>
    <t>для ДСП</t>
  </si>
  <si>
    <t>clip</t>
  </si>
  <si>
    <t>Clip 3D</t>
  </si>
  <si>
    <t>ширина внутрішньої частини корпусу , LW мм</t>
  </si>
  <si>
    <t>глибина внутрішньої частини корпусу , LT мм</t>
  </si>
  <si>
    <t>товщина матеріалу ящика ДСП/МДФ , мм</t>
  </si>
  <si>
    <t>довжина, мм</t>
  </si>
  <si>
    <t>кількість, шт</t>
  </si>
  <si>
    <t xml:space="preserve">розмір готової деталі задньої панелі ящика </t>
  </si>
  <si>
    <t>розмір готової деталі фасадної фальшпанелі* ящика</t>
  </si>
  <si>
    <t>розмір готових деталей боковин ящика</t>
  </si>
  <si>
    <t>для ящика із ДСП, мм</t>
  </si>
  <si>
    <t>фіксатор</t>
  </si>
  <si>
    <t>примітка</t>
  </si>
  <si>
    <t>* напрямні для матеріалу ящика завтовшки 16,18 і 19мм мають однаковий артикул</t>
  </si>
  <si>
    <t>деталювання ящика з НАКЛАДНИМ фасадом:</t>
  </si>
  <si>
    <t>товщина матеріалу фасаду ДСП/МДФ , мм</t>
  </si>
  <si>
    <t>деталювання ящика з Внутрішнім фасадом:</t>
  </si>
  <si>
    <t>з відштовхувачем</t>
  </si>
  <si>
    <t>з дотягувачем</t>
  </si>
  <si>
    <t>16,18,19</t>
  </si>
  <si>
    <t>глибина внутрішньої частини корпусу , LT min мм</t>
  </si>
  <si>
    <t>значення довжини напрямних , NL мм</t>
  </si>
  <si>
    <t>значення довжини напрямних  NL, мм</t>
  </si>
  <si>
    <t xml:space="preserve">артикул  комплекту напрямних прихованого монтажу </t>
  </si>
  <si>
    <t xml:space="preserve">артикул комплекту напрямних прихованого монтажу:  </t>
  </si>
  <si>
    <t xml:space="preserve">розмір готової деталі накладного ФАСАДУ </t>
  </si>
  <si>
    <t>Вхідні дані для ящика з НАКЛАДНИМ фасадом з напрямними прихованого монтажу GIFF PRIME:</t>
  </si>
  <si>
    <t>Вхідні дані для ящика з ВНУТРІШНІМ фасадом з напрямними прихованого монтажу GIFF PRIME:</t>
  </si>
  <si>
    <t>*ця деталь у деяких конструктивах ящиків може бути відсутня</t>
  </si>
  <si>
    <t xml:space="preserve">розмір готової деталі внутрішнього ФАСАДУ </t>
  </si>
  <si>
    <t>висота фасаду ящика, мм</t>
  </si>
  <si>
    <t xml:space="preserve">розмір готової деталі дна ящика </t>
  </si>
  <si>
    <t>висота Фасаду ящика, мм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</si>
</sst>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u/>
      <sz val="11"/>
      <color rgb="FFFF0000"/>
      <name val="Calibri"/>
      <family val="2"/>
      <charset val="204"/>
      <scheme val="minor"/>
    </font>
    <font>
      <b/>
      <sz val="11"/>
      <color rgb="FFC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C0000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2"/>
      <color rgb="FFC00000"/>
      <name val="Calibri"/>
      <family val="2"/>
      <charset val="204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1" xfId="0" applyFill="1" applyBorder="1" applyAlignment="1">
      <alignment horizontal="center"/>
    </xf>
    <xf numFmtId="0" fontId="0" fillId="7" borderId="1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/>
    </xf>
    <xf numFmtId="0" fontId="0" fillId="7" borderId="0" xfId="0" applyFill="1" applyBorder="1"/>
    <xf numFmtId="0" fontId="0" fillId="8" borderId="0" xfId="0" applyFill="1"/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0" fillId="0" borderId="3" xfId="0" applyBorder="1" applyAlignment="1" applyProtection="1">
      <alignment horizontal="center"/>
      <protection hidden="1"/>
    </xf>
    <xf numFmtId="0" fontId="0" fillId="0" borderId="4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Protection="1">
      <protection hidden="1"/>
    </xf>
    <xf numFmtId="0" fontId="0" fillId="0" borderId="6" xfId="0" applyBorder="1" applyProtection="1">
      <protection hidden="1"/>
    </xf>
    <xf numFmtId="0" fontId="1" fillId="0" borderId="5" xfId="0" applyFont="1" applyBorder="1" applyAlignment="1" applyProtection="1">
      <alignment horizontal="right"/>
      <protection hidden="1"/>
    </xf>
    <xf numFmtId="0" fontId="0" fillId="0" borderId="0" xfId="0" applyBorder="1" applyAlignment="1" applyProtection="1">
      <alignment horizontal="left"/>
      <protection hidden="1"/>
    </xf>
    <xf numFmtId="0" fontId="1" fillId="0" borderId="5" xfId="0" applyFont="1" applyFill="1" applyBorder="1" applyAlignment="1" applyProtection="1">
      <alignment horizontal="right" wrapText="1"/>
      <protection hidden="1"/>
    </xf>
    <xf numFmtId="0" fontId="0" fillId="0" borderId="0" xfId="0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right"/>
      <protection hidden="1"/>
    </xf>
    <xf numFmtId="0" fontId="0" fillId="5" borderId="16" xfId="0" applyFill="1" applyBorder="1" applyAlignment="1" applyProtection="1">
      <alignment horizontal="center"/>
      <protection hidden="1"/>
    </xf>
    <xf numFmtId="0" fontId="0" fillId="0" borderId="8" xfId="0" applyBorder="1" applyAlignment="1" applyProtection="1">
      <alignment horizontal="left"/>
      <protection hidden="1"/>
    </xf>
    <xf numFmtId="0" fontId="0" fillId="0" borderId="8" xfId="0" applyBorder="1" applyProtection="1">
      <protection hidden="1"/>
    </xf>
    <xf numFmtId="0" fontId="0" fillId="0" borderId="9" xfId="0" applyBorder="1" applyProtection="1">
      <protection hidden="1"/>
    </xf>
    <xf numFmtId="0" fontId="0" fillId="3" borderId="17" xfId="0" applyFont="1" applyFill="1" applyBorder="1" applyAlignment="1" applyProtection="1">
      <alignment horizontal="center"/>
      <protection hidden="1"/>
    </xf>
    <xf numFmtId="0" fontId="0" fillId="3" borderId="18" xfId="0" applyFill="1" applyBorder="1" applyAlignment="1" applyProtection="1">
      <alignment horizontal="center"/>
      <protection hidden="1"/>
    </xf>
    <xf numFmtId="0" fontId="0" fillId="3" borderId="19" xfId="0" applyFill="1" applyBorder="1" applyAlignment="1" applyProtection="1">
      <alignment horizontal="center"/>
      <protection hidden="1"/>
    </xf>
    <xf numFmtId="0" fontId="1" fillId="0" borderId="20" xfId="0" applyFont="1" applyBorder="1" applyAlignment="1" applyProtection="1">
      <alignment horizontal="right"/>
      <protection hidden="1"/>
    </xf>
    <xf numFmtId="0" fontId="0" fillId="6" borderId="1" xfId="0" applyFill="1" applyBorder="1" applyAlignment="1" applyProtection="1">
      <alignment horizontal="center"/>
      <protection hidden="1"/>
    </xf>
    <xf numFmtId="0" fontId="0" fillId="6" borderId="21" xfId="0" applyFill="1" applyBorder="1" applyAlignment="1" applyProtection="1">
      <alignment horizontal="center"/>
      <protection hidden="1"/>
    </xf>
    <xf numFmtId="0" fontId="1" fillId="9" borderId="20" xfId="0" applyFont="1" applyFill="1" applyBorder="1" applyAlignment="1" applyProtection="1">
      <alignment horizontal="right"/>
      <protection hidden="1"/>
    </xf>
    <xf numFmtId="0" fontId="0" fillId="9" borderId="1" xfId="0" applyFill="1" applyBorder="1" applyAlignment="1" applyProtection="1">
      <alignment horizontal="center"/>
      <protection hidden="1"/>
    </xf>
    <xf numFmtId="0" fontId="0" fillId="9" borderId="21" xfId="0" applyFill="1" applyBorder="1" applyAlignment="1" applyProtection="1">
      <alignment horizontal="center"/>
      <protection hidden="1"/>
    </xf>
    <xf numFmtId="0" fontId="1" fillId="0" borderId="22" xfId="0" applyFont="1" applyBorder="1" applyAlignment="1" applyProtection="1">
      <alignment horizontal="right"/>
      <protection hidden="1"/>
    </xf>
    <xf numFmtId="0" fontId="0" fillId="6" borderId="16" xfId="0" applyFill="1" applyBorder="1" applyAlignment="1" applyProtection="1">
      <alignment horizontal="center"/>
      <protection hidden="1"/>
    </xf>
    <xf numFmtId="0" fontId="0" fillId="6" borderId="23" xfId="0" applyFill="1" applyBorder="1" applyAlignment="1" applyProtection="1">
      <alignment horizontal="center"/>
      <protection hidden="1"/>
    </xf>
    <xf numFmtId="0" fontId="7" fillId="0" borderId="0" xfId="0" applyFont="1" applyBorder="1" applyProtection="1">
      <protection hidden="1"/>
    </xf>
    <xf numFmtId="0" fontId="0" fillId="0" borderId="5" xfId="0" applyFill="1" applyBorder="1" applyProtection="1">
      <protection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0" fillId="0" borderId="0" xfId="0" applyFill="1" applyBorder="1" applyProtection="1">
      <protection hidden="1"/>
    </xf>
    <xf numFmtId="0" fontId="0" fillId="0" borderId="6" xfId="0" applyFill="1" applyBorder="1" applyProtection="1">
      <protection hidden="1"/>
    </xf>
    <xf numFmtId="0" fontId="1" fillId="0" borderId="5" xfId="0" applyFont="1" applyBorder="1" applyAlignment="1" applyProtection="1">
      <alignment horizontal="right" vertical="center" wrapText="1"/>
      <protection hidden="1"/>
    </xf>
    <xf numFmtId="0" fontId="0" fillId="7" borderId="11" xfId="0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5" borderId="12" xfId="0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0" fillId="5" borderId="13" xfId="0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right"/>
      <protection hidden="1"/>
    </xf>
    <xf numFmtId="0" fontId="0" fillId="5" borderId="14" xfId="0" applyFill="1" applyBorder="1" applyAlignment="1" applyProtection="1">
      <alignment horizontal="center"/>
      <protection hidden="1"/>
    </xf>
    <xf numFmtId="0" fontId="0" fillId="0" borderId="8" xfId="0" applyFill="1" applyBorder="1" applyAlignment="1" applyProtection="1">
      <alignment horizontal="center"/>
      <protection hidden="1"/>
    </xf>
    <xf numFmtId="0" fontId="0" fillId="0" borderId="9" xfId="0" applyFill="1" applyBorder="1" applyAlignment="1" applyProtection="1">
      <alignment horizontal="left"/>
      <protection hidden="1"/>
    </xf>
    <xf numFmtId="0" fontId="2" fillId="0" borderId="0" xfId="0" applyFont="1" applyFill="1" applyBorder="1" applyAlignment="1" applyProtection="1">
      <alignment wrapText="1"/>
      <protection hidden="1"/>
    </xf>
    <xf numFmtId="0" fontId="0" fillId="0" borderId="7" xfId="0" applyFill="1" applyBorder="1" applyProtection="1">
      <protection hidden="1"/>
    </xf>
    <xf numFmtId="0" fontId="0" fillId="0" borderId="8" xfId="0" applyFill="1" applyBorder="1" applyProtection="1">
      <protection hidden="1"/>
    </xf>
    <xf numFmtId="0" fontId="0" fillId="0" borderId="9" xfId="0" applyFill="1" applyBorder="1" applyProtection="1">
      <protection hidden="1"/>
    </xf>
    <xf numFmtId="0" fontId="5" fillId="9" borderId="1" xfId="0" applyFont="1" applyFill="1" applyBorder="1" applyAlignment="1" applyProtection="1">
      <alignment horizontal="center"/>
      <protection hidden="1"/>
    </xf>
    <xf numFmtId="0" fontId="5" fillId="9" borderId="21" xfId="0" applyFont="1" applyFill="1" applyBorder="1" applyAlignment="1" applyProtection="1">
      <alignment horizontal="center"/>
      <protection hidden="1"/>
    </xf>
    <xf numFmtId="0" fontId="0" fillId="7" borderId="1" xfId="0" applyFill="1" applyBorder="1" applyAlignment="1" applyProtection="1">
      <alignment horizontal="center" vertical="center"/>
      <protection hidden="1"/>
    </xf>
    <xf numFmtId="0" fontId="0" fillId="5" borderId="1" xfId="0" applyFill="1" applyBorder="1" applyAlignment="1" applyProtection="1">
      <alignment horizontal="center"/>
      <protection hidden="1"/>
    </xf>
    <xf numFmtId="0" fontId="0" fillId="0" borderId="7" xfId="0" applyBorder="1" applyProtection="1">
      <protection hidden="1"/>
    </xf>
    <xf numFmtId="0" fontId="0" fillId="0" borderId="8" xfId="0" applyBorder="1" applyAlignment="1" applyProtection="1">
      <alignment horizontal="center"/>
      <protection hidden="1"/>
    </xf>
    <xf numFmtId="0" fontId="2" fillId="0" borderId="9" xfId="0" applyFont="1" applyFill="1" applyBorder="1" applyAlignment="1" applyProtection="1">
      <alignment horizontal="left"/>
      <protection hidden="1"/>
    </xf>
    <xf numFmtId="0" fontId="2" fillId="0" borderId="0" xfId="0" applyFont="1" applyFill="1" applyBorder="1" applyAlignment="1" applyProtection="1">
      <alignment horizontal="left"/>
      <protection hidden="1"/>
    </xf>
    <xf numFmtId="0" fontId="0" fillId="4" borderId="1" xfId="0" applyFill="1" applyBorder="1" applyAlignment="1" applyProtection="1">
      <alignment horizontal="center"/>
      <protection locked="0" hidden="1"/>
    </xf>
    <xf numFmtId="0" fontId="0" fillId="4" borderId="1" xfId="0" applyFill="1" applyBorder="1" applyAlignment="1" applyProtection="1">
      <alignment horizontal="center" vertical="center"/>
      <protection locked="0" hidden="1"/>
    </xf>
    <xf numFmtId="0" fontId="0" fillId="6" borderId="24" xfId="0" applyFill="1" applyBorder="1" applyAlignment="1" applyProtection="1">
      <alignment horizontal="center"/>
      <protection hidden="1"/>
    </xf>
    <xf numFmtId="0" fontId="0" fillId="6" borderId="25" xfId="0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protection hidden="1"/>
    </xf>
    <xf numFmtId="0" fontId="0" fillId="11" borderId="21" xfId="0" applyFill="1" applyBorder="1" applyAlignment="1" applyProtection="1">
      <alignment horizontal="center" vertical="center"/>
      <protection hidden="1"/>
    </xf>
    <xf numFmtId="0" fontId="0" fillId="12" borderId="21" xfId="0" applyFill="1" applyBorder="1" applyAlignment="1" applyProtection="1">
      <alignment horizontal="center"/>
      <protection hidden="1"/>
    </xf>
    <xf numFmtId="0" fontId="0" fillId="11" borderId="11" xfId="0" applyFill="1" applyBorder="1" applyAlignment="1" applyProtection="1">
      <alignment horizontal="center" vertical="center"/>
      <protection hidden="1"/>
    </xf>
    <xf numFmtId="0" fontId="0" fillId="12" borderId="12" xfId="0" applyFill="1" applyBorder="1" applyAlignment="1" applyProtection="1">
      <alignment horizontal="center"/>
      <protection hidden="1"/>
    </xf>
    <xf numFmtId="0" fontId="0" fillId="12" borderId="13" xfId="0" applyFill="1" applyBorder="1" applyAlignment="1" applyProtection="1">
      <alignment horizontal="center"/>
      <protection hidden="1"/>
    </xf>
    <xf numFmtId="0" fontId="0" fillId="12" borderId="14" xfId="0" applyFill="1" applyBorder="1" applyAlignment="1" applyProtection="1">
      <alignment horizontal="center"/>
      <protection hidden="1"/>
    </xf>
    <xf numFmtId="0" fontId="0" fillId="7" borderId="1" xfId="0" applyFill="1" applyBorder="1" applyAlignment="1" applyProtection="1">
      <alignment horizontal="center"/>
      <protection hidden="1"/>
    </xf>
    <xf numFmtId="0" fontId="0" fillId="11" borderId="21" xfId="0" applyFill="1" applyBorder="1" applyAlignment="1" applyProtection="1">
      <alignment horizontal="center"/>
      <protection hidden="1"/>
    </xf>
    <xf numFmtId="0" fontId="0" fillId="7" borderId="15" xfId="0" applyFill="1" applyBorder="1" applyAlignment="1" applyProtection="1">
      <alignment horizontal="center"/>
      <protection hidden="1"/>
    </xf>
    <xf numFmtId="0" fontId="0" fillId="13" borderId="15" xfId="0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wrapText="1"/>
      <protection hidden="1"/>
    </xf>
    <xf numFmtId="0" fontId="0" fillId="0" borderId="6" xfId="0" applyBorder="1"/>
    <xf numFmtId="0" fontId="0" fillId="0" borderId="0" xfId="0" applyBorder="1" applyAlignment="1"/>
    <xf numFmtId="0" fontId="0" fillId="0" borderId="6" xfId="0" applyBorder="1" applyAlignment="1"/>
    <xf numFmtId="0" fontId="0" fillId="10" borderId="0" xfId="0" applyFill="1" applyBorder="1"/>
    <xf numFmtId="0" fontId="0" fillId="0" borderId="0" xfId="0" applyFill="1" applyBorder="1" applyAlignment="1" applyProtection="1">
      <alignment vertical="center" wrapText="1"/>
      <protection hidden="1"/>
    </xf>
    <xf numFmtId="0" fontId="0" fillId="0" borderId="0" xfId="0" applyFill="1" applyBorder="1"/>
    <xf numFmtId="0" fontId="2" fillId="0" borderId="0" xfId="0" applyFont="1" applyFill="1" applyBorder="1" applyProtection="1"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0" fontId="2" fillId="0" borderId="8" xfId="0" applyFont="1" applyFill="1" applyBorder="1" applyAlignment="1" applyProtection="1">
      <alignment horizontal="center" wrapText="1"/>
      <protection hidden="1"/>
    </xf>
    <xf numFmtId="0" fontId="2" fillId="10" borderId="2" xfId="0" applyFont="1" applyFill="1" applyBorder="1" applyAlignment="1" applyProtection="1">
      <alignment horizontal="center" vertical="center"/>
      <protection hidden="1"/>
    </xf>
    <xf numFmtId="0" fontId="2" fillId="10" borderId="3" xfId="0" applyFont="1" applyFill="1" applyBorder="1" applyAlignment="1" applyProtection="1">
      <alignment horizontal="center" vertical="center"/>
      <protection hidden="1"/>
    </xf>
    <xf numFmtId="0" fontId="2" fillId="10" borderId="4" xfId="0" applyFont="1" applyFill="1" applyBorder="1" applyAlignment="1" applyProtection="1">
      <alignment horizontal="center" vertical="center"/>
      <protection hidden="1"/>
    </xf>
    <xf numFmtId="0" fontId="9" fillId="10" borderId="2" xfId="0" applyFont="1" applyFill="1" applyBorder="1" applyAlignment="1" applyProtection="1">
      <alignment horizontal="center" vertical="center"/>
      <protection hidden="1"/>
    </xf>
    <xf numFmtId="0" fontId="9" fillId="10" borderId="3" xfId="0" applyFont="1" applyFill="1" applyBorder="1" applyAlignment="1" applyProtection="1">
      <alignment horizontal="center" vertical="center"/>
      <protection hidden="1"/>
    </xf>
    <xf numFmtId="0" fontId="9" fillId="10" borderId="4" xfId="0" applyFont="1" applyFill="1" applyBorder="1" applyAlignment="1" applyProtection="1">
      <alignment horizontal="center" vertical="center"/>
      <protection hidden="1"/>
    </xf>
    <xf numFmtId="0" fontId="0" fillId="0" borderId="0" xfId="0" applyBorder="1" applyAlignment="1">
      <alignment horizontal="center"/>
    </xf>
    <xf numFmtId="0" fontId="10" fillId="10" borderId="2" xfId="0" applyFont="1" applyFill="1" applyBorder="1" applyAlignment="1" applyProtection="1">
      <alignment horizontal="center" vertical="center"/>
      <protection hidden="1"/>
    </xf>
    <xf numFmtId="0" fontId="10" fillId="10" borderId="3" xfId="0" applyFont="1" applyFill="1" applyBorder="1" applyAlignment="1" applyProtection="1">
      <alignment horizontal="center" vertical="center"/>
      <protection hidden="1"/>
    </xf>
    <xf numFmtId="0" fontId="10" fillId="10" borderId="4" xfId="0" applyFont="1" applyFill="1" applyBorder="1" applyAlignment="1" applyProtection="1">
      <alignment horizontal="center" vertical="center"/>
      <protection hidden="1"/>
    </xf>
    <xf numFmtId="0" fontId="4" fillId="10" borderId="2" xfId="0" applyFont="1" applyFill="1" applyBorder="1" applyAlignment="1" applyProtection="1">
      <alignment horizontal="center" vertical="center"/>
      <protection hidden="1"/>
    </xf>
    <xf numFmtId="0" fontId="4" fillId="10" borderId="3" xfId="0" applyFont="1" applyFill="1" applyBorder="1" applyAlignment="1" applyProtection="1">
      <alignment horizontal="center" vertical="center"/>
      <protection hidden="1"/>
    </xf>
    <xf numFmtId="0" fontId="4" fillId="10" borderId="4" xfId="0" applyFont="1" applyFill="1" applyBorder="1" applyAlignment="1" applyProtection="1">
      <alignment horizontal="center" vertical="center"/>
      <protection hidden="1"/>
    </xf>
    <xf numFmtId="0" fontId="0" fillId="9" borderId="2" xfId="0" applyFill="1" applyBorder="1" applyAlignment="1" applyProtection="1">
      <alignment horizontal="center" vertical="center" wrapText="1"/>
      <protection hidden="1"/>
    </xf>
    <xf numFmtId="0" fontId="0" fillId="9" borderId="3" xfId="0" applyFill="1" applyBorder="1" applyAlignment="1" applyProtection="1">
      <alignment horizontal="center" vertical="center" wrapText="1"/>
      <protection hidden="1"/>
    </xf>
    <xf numFmtId="0" fontId="0" fillId="9" borderId="4" xfId="0" applyFill="1" applyBorder="1" applyAlignment="1" applyProtection="1">
      <alignment horizontal="center" vertical="center" wrapText="1"/>
      <protection hidden="1"/>
    </xf>
    <xf numFmtId="0" fontId="0" fillId="9" borderId="5" xfId="0" applyFill="1" applyBorder="1" applyAlignment="1" applyProtection="1">
      <alignment horizontal="center" vertical="center" wrapText="1"/>
      <protection hidden="1"/>
    </xf>
    <xf numFmtId="0" fontId="0" fillId="9" borderId="0" xfId="0" applyFill="1" applyBorder="1" applyAlignment="1" applyProtection="1">
      <alignment horizontal="center" vertical="center" wrapText="1"/>
      <protection hidden="1"/>
    </xf>
    <xf numFmtId="0" fontId="0" fillId="9" borderId="6" xfId="0" applyFill="1" applyBorder="1" applyAlignment="1" applyProtection="1">
      <alignment horizontal="center" vertical="center" wrapText="1"/>
      <protection hidden="1"/>
    </xf>
    <xf numFmtId="0" fontId="0" fillId="9" borderId="7" xfId="0" applyFill="1" applyBorder="1" applyAlignment="1" applyProtection="1">
      <alignment horizontal="center" vertical="center" wrapText="1"/>
      <protection hidden="1"/>
    </xf>
    <xf numFmtId="0" fontId="0" fillId="9" borderId="8" xfId="0" applyFill="1" applyBorder="1" applyAlignment="1" applyProtection="1">
      <alignment horizontal="center" vertical="center" wrapText="1"/>
      <protection hidden="1"/>
    </xf>
    <xf numFmtId="0" fontId="0" fillId="9" borderId="9" xfId="0" applyFill="1" applyBorder="1" applyAlignment="1" applyProtection="1">
      <alignment horizontal="center" vertical="center" wrapText="1"/>
      <protection hidden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tiff"/><Relationship Id="rId2" Type="http://schemas.openxmlformats.org/officeDocument/2006/relationships/image" Target="../media/image2.tif"/><Relationship Id="rId1" Type="http://schemas.openxmlformats.org/officeDocument/2006/relationships/image" Target="../media/image1.t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257174</xdr:colOff>
      <xdr:row>0</xdr:row>
      <xdr:rowOff>123825</xdr:rowOff>
    </xdr:from>
    <xdr:to>
      <xdr:col>11</xdr:col>
      <xdr:colOff>351780</xdr:colOff>
      <xdr:row>12</xdr:row>
      <xdr:rowOff>123824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AF4BC7AB-730D-44EB-8ABE-7C4216ED34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72449" y="123825"/>
          <a:ext cx="3466456" cy="2343149"/>
        </a:xfrm>
        <a:prstGeom prst="rect">
          <a:avLst/>
        </a:prstGeom>
      </xdr:spPr>
    </xdr:pic>
    <xdr:clientData/>
  </xdr:twoCellAnchor>
  <xdr:twoCellAnchor editAs="oneCell">
    <xdr:from>
      <xdr:col>6</xdr:col>
      <xdr:colOff>85724</xdr:colOff>
      <xdr:row>27</xdr:row>
      <xdr:rowOff>17479</xdr:rowOff>
    </xdr:from>
    <xdr:to>
      <xdr:col>11</xdr:col>
      <xdr:colOff>85725</xdr:colOff>
      <xdr:row>40</xdr:row>
      <xdr:rowOff>1106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5AF82522-4B25-49EC-A52C-301C009D27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00999" y="5380054"/>
          <a:ext cx="3371851" cy="2469652"/>
        </a:xfrm>
        <a:prstGeom prst="rect">
          <a:avLst/>
        </a:prstGeom>
      </xdr:spPr>
    </xdr:pic>
    <xdr:clientData/>
  </xdr:twoCellAnchor>
  <xdr:twoCellAnchor editAs="oneCell">
    <xdr:from>
      <xdr:col>5</xdr:col>
      <xdr:colOff>114300</xdr:colOff>
      <xdr:row>17</xdr:row>
      <xdr:rowOff>13248</xdr:rowOff>
    </xdr:from>
    <xdr:to>
      <xdr:col>6</xdr:col>
      <xdr:colOff>466725</xdr:colOff>
      <xdr:row>21</xdr:row>
      <xdr:rowOff>184022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471007B6-E4B5-477B-9C76-6261F583CC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0" y="3413673"/>
          <a:ext cx="1333500" cy="1066124"/>
        </a:xfrm>
        <a:prstGeom prst="rect">
          <a:avLst/>
        </a:prstGeom>
      </xdr:spPr>
    </xdr:pic>
    <xdr:clientData/>
  </xdr:twoCellAnchor>
  <xdr:twoCellAnchor editAs="oneCell">
    <xdr:from>
      <xdr:col>5</xdr:col>
      <xdr:colOff>133350</xdr:colOff>
      <xdr:row>44</xdr:row>
      <xdr:rowOff>13248</xdr:rowOff>
    </xdr:from>
    <xdr:to>
      <xdr:col>6</xdr:col>
      <xdr:colOff>485775</xdr:colOff>
      <xdr:row>49</xdr:row>
      <xdr:rowOff>22097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id="{7665CF05-60CD-4D9F-9AAB-8BCBCE6CB6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67550" y="8661948"/>
          <a:ext cx="1333500" cy="10661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2"/>
  <sheetViews>
    <sheetView showGridLines="0" tabSelected="1" zoomScaleNormal="100" workbookViewId="0">
      <selection activeCell="C6" sqref="C6"/>
    </sheetView>
  </sheetViews>
  <sheetFormatPr defaultRowHeight="15" x14ac:dyDescent="0.25"/>
  <cols>
    <col min="1" max="1" width="3" customWidth="1"/>
    <col min="2" max="2" width="52.42578125" customWidth="1"/>
    <col min="3" max="3" width="17.140625" style="1" customWidth="1"/>
    <col min="4" max="4" width="15.85546875" style="1" customWidth="1"/>
    <col min="5" max="5" width="15.5703125" customWidth="1"/>
    <col min="6" max="6" width="14.7109375" customWidth="1"/>
    <col min="7" max="7" width="8.28515625" bestFit="1" customWidth="1"/>
    <col min="8" max="8" width="10" bestFit="1" customWidth="1"/>
    <col min="9" max="9" width="10" customWidth="1"/>
    <col min="10" max="10" width="11.140625" bestFit="1" customWidth="1"/>
    <col min="11" max="11" width="11.140625" customWidth="1"/>
    <col min="12" max="12" width="9.85546875" customWidth="1"/>
    <col min="13" max="13" width="9.140625" customWidth="1"/>
    <col min="14" max="14" width="24.5703125" hidden="1" customWidth="1"/>
    <col min="15" max="22" width="9.140625" hidden="1" customWidth="1"/>
    <col min="23" max="23" width="22.28515625" hidden="1" customWidth="1"/>
    <col min="24" max="27" width="9.140625" customWidth="1"/>
  </cols>
  <sheetData>
    <row r="1" spans="1:23" ht="15.75" thickBot="1" x14ac:dyDescent="0.3">
      <c r="A1" s="12"/>
      <c r="B1" s="13"/>
      <c r="C1" s="14"/>
      <c r="D1" s="14"/>
      <c r="E1" s="13"/>
      <c r="F1" s="13"/>
      <c r="G1" s="13"/>
      <c r="H1" s="13"/>
      <c r="I1" s="13"/>
      <c r="J1" s="13"/>
      <c r="K1" s="13"/>
      <c r="L1" s="15"/>
      <c r="M1" s="6"/>
    </row>
    <row r="2" spans="1:23" ht="22.5" customHeight="1" x14ac:dyDescent="0.25">
      <c r="A2" s="16"/>
      <c r="B2" s="100" t="s">
        <v>31</v>
      </c>
      <c r="C2" s="101"/>
      <c r="D2" s="101"/>
      <c r="E2" s="101"/>
      <c r="F2" s="102"/>
      <c r="G2" s="17"/>
      <c r="H2" s="17"/>
      <c r="I2" s="17"/>
      <c r="J2" s="17"/>
      <c r="K2" s="17"/>
      <c r="L2" s="18"/>
      <c r="M2" s="6"/>
      <c r="N2" s="6"/>
      <c r="P2" s="3" t="s">
        <v>1</v>
      </c>
      <c r="Q2" s="3" t="s">
        <v>3</v>
      </c>
      <c r="R2" s="3" t="s">
        <v>1</v>
      </c>
      <c r="S2" s="3" t="s">
        <v>4</v>
      </c>
      <c r="T2" s="3" t="s">
        <v>1</v>
      </c>
      <c r="U2" s="3" t="s">
        <v>5</v>
      </c>
      <c r="V2" s="3" t="s">
        <v>1</v>
      </c>
      <c r="W2" s="3" t="s">
        <v>2</v>
      </c>
    </row>
    <row r="3" spans="1:23" ht="15" customHeight="1" x14ac:dyDescent="0.25">
      <c r="A3" s="16"/>
      <c r="B3" s="19" t="s">
        <v>7</v>
      </c>
      <c r="C3" s="68">
        <v>1200</v>
      </c>
      <c r="D3" s="20" t="str">
        <f>IF(C3&gt;1200,"некоректно!!! Зменшити розмір корпусу",IF(C3&lt;250,"не коректно!!Збільшити розмір корпусу","коректно"))</f>
        <v>коректно</v>
      </c>
      <c r="E3" s="17"/>
      <c r="F3" s="18"/>
      <c r="G3" s="17"/>
      <c r="H3" s="6"/>
      <c r="I3" s="6"/>
      <c r="J3" s="6"/>
      <c r="K3" s="85"/>
      <c r="L3" s="86"/>
      <c r="M3" s="85"/>
      <c r="N3">
        <f>C3</f>
        <v>1200</v>
      </c>
      <c r="P3" s="2">
        <v>139843</v>
      </c>
      <c r="Q3" s="2">
        <v>450</v>
      </c>
      <c r="R3" s="2">
        <v>139843</v>
      </c>
      <c r="S3" s="2" t="s">
        <v>24</v>
      </c>
      <c r="T3" s="2">
        <v>139843</v>
      </c>
      <c r="U3" s="2" t="s">
        <v>6</v>
      </c>
      <c r="V3" s="2">
        <v>139843</v>
      </c>
      <c r="W3" s="2" t="s">
        <v>22</v>
      </c>
    </row>
    <row r="4" spans="1:23" x14ac:dyDescent="0.25">
      <c r="A4" s="16"/>
      <c r="B4" s="19" t="s">
        <v>25</v>
      </c>
      <c r="C4" s="68">
        <v>410</v>
      </c>
      <c r="D4" s="20" t="str">
        <f>IF(AND(C4&lt;900,C4&gt;318), "коректно", "некоректно!! Глибина у діапазоні 319...900мм")</f>
        <v>коректно</v>
      </c>
      <c r="E4" s="17"/>
      <c r="F4" s="18"/>
      <c r="G4" s="17"/>
      <c r="H4" s="6"/>
      <c r="I4" s="6"/>
      <c r="J4" s="6"/>
      <c r="K4" s="85"/>
      <c r="L4" s="86"/>
      <c r="M4" s="85"/>
      <c r="N4">
        <f>C8*0.8+1</f>
        <v>281</v>
      </c>
      <c r="P4" s="2">
        <v>0</v>
      </c>
      <c r="Q4" s="2">
        <v>450</v>
      </c>
      <c r="R4" s="2">
        <v>0</v>
      </c>
      <c r="S4" s="2">
        <v>19</v>
      </c>
      <c r="T4" s="2">
        <v>139843</v>
      </c>
      <c r="U4" s="2" t="s">
        <v>6</v>
      </c>
      <c r="V4" s="2">
        <v>139843</v>
      </c>
      <c r="W4" s="2" t="s">
        <v>22</v>
      </c>
    </row>
    <row r="5" spans="1:23" x14ac:dyDescent="0.25">
      <c r="A5" s="16"/>
      <c r="B5" s="19" t="s">
        <v>35</v>
      </c>
      <c r="C5" s="68">
        <v>200</v>
      </c>
      <c r="D5" s="20" t="str">
        <f>IF(C5&lt;109,"некоректно!! збільшити висоту Фасада",IF(C5&gt;500,"некоректно!!! Дуже висока боковина ящика","коректно"))</f>
        <v>коректно</v>
      </c>
      <c r="E5" s="17"/>
      <c r="F5" s="18"/>
      <c r="G5" s="17"/>
      <c r="H5" s="6"/>
      <c r="I5" s="6"/>
      <c r="J5" s="6"/>
      <c r="K5" s="85"/>
      <c r="L5" s="86"/>
      <c r="M5" s="85"/>
      <c r="N5" s="6"/>
      <c r="P5" s="2">
        <v>139844</v>
      </c>
      <c r="Q5" s="2">
        <v>500</v>
      </c>
      <c r="R5" s="2">
        <v>139844</v>
      </c>
      <c r="S5" s="2" t="s">
        <v>24</v>
      </c>
      <c r="T5" s="2">
        <v>139844</v>
      </c>
      <c r="U5" s="2" t="s">
        <v>6</v>
      </c>
      <c r="V5" s="2">
        <v>139844</v>
      </c>
      <c r="W5" s="2" t="s">
        <v>22</v>
      </c>
    </row>
    <row r="6" spans="1:23" x14ac:dyDescent="0.25">
      <c r="A6" s="16"/>
      <c r="B6" s="21" t="s">
        <v>9</v>
      </c>
      <c r="C6" s="69">
        <v>16</v>
      </c>
      <c r="D6" s="22" t="str">
        <f>IF(C6=16,"коректно",IF(C6=18,"коректно",IF(C6=19,"коректно","некоректно!!!вибрати: або 16 або 18 або 19")))</f>
        <v>коректно</v>
      </c>
      <c r="E6" s="17"/>
      <c r="F6" s="18"/>
      <c r="G6" s="17"/>
      <c r="H6" s="17"/>
      <c r="I6" s="17"/>
      <c r="J6" s="17"/>
      <c r="K6" s="85"/>
      <c r="L6" s="86"/>
      <c r="M6" s="85"/>
      <c r="N6" s="10">
        <f>IF(C6=16,18,0)</f>
        <v>18</v>
      </c>
      <c r="P6" s="2">
        <v>0</v>
      </c>
      <c r="Q6" s="2">
        <v>450</v>
      </c>
      <c r="R6" s="2">
        <v>0</v>
      </c>
      <c r="S6" s="2">
        <v>19</v>
      </c>
      <c r="T6" s="2">
        <v>139843</v>
      </c>
      <c r="U6" s="2" t="s">
        <v>6</v>
      </c>
      <c r="V6" s="2">
        <v>139843</v>
      </c>
      <c r="W6" s="2" t="s">
        <v>22</v>
      </c>
    </row>
    <row r="7" spans="1:23" x14ac:dyDescent="0.25">
      <c r="A7" s="16"/>
      <c r="B7" s="16"/>
      <c r="C7" s="23"/>
      <c r="D7" s="23"/>
      <c r="E7" s="17"/>
      <c r="F7" s="18"/>
      <c r="G7" s="17"/>
      <c r="H7" s="17"/>
      <c r="I7" s="17"/>
      <c r="J7" s="17"/>
      <c r="K7" s="85"/>
      <c r="L7" s="86"/>
      <c r="M7" s="85"/>
      <c r="N7" s="6"/>
      <c r="P7" s="4">
        <v>0</v>
      </c>
      <c r="Q7" s="4">
        <v>500</v>
      </c>
      <c r="R7" s="4">
        <v>0</v>
      </c>
      <c r="S7" s="4">
        <v>18</v>
      </c>
      <c r="T7" s="4">
        <v>139844</v>
      </c>
      <c r="U7" s="4" t="s">
        <v>6</v>
      </c>
      <c r="V7" s="4">
        <v>139844</v>
      </c>
      <c r="W7" s="2" t="s">
        <v>22</v>
      </c>
    </row>
    <row r="8" spans="1:23" ht="15.75" thickBot="1" x14ac:dyDescent="0.3">
      <c r="A8" s="16"/>
      <c r="B8" s="24" t="s">
        <v>26</v>
      </c>
      <c r="C8" s="25">
        <f>IF(AND(C4&gt;318,C4&lt;369),300,IF(AND(C4&gt;368,C4&lt;419),350,IF(AND(C4&gt;418,C4&lt;469),400,IF(AND(C4&gt;468,C4&lt;519),450,IF(AND(C4&gt;518,C4&lt;569),500,IF(AND(C4&gt;568,C4&lt;900),550,0))))))</f>
        <v>350</v>
      </c>
      <c r="D8" s="26" t="str">
        <f>IF(C8=300, "див. рекомендований артикул напрямних",IF(C8=350, "див. рекомендований артикул напрямних", IF(C8=400,"див. рекомендований артикул напрямних",IF(C8=450,"див. рекомендований артикул напрямних",IF(C8=500,"див. рекомендований артикул напрямних",IF(C8=550,"див. рекомендований артикул напрямних", "немає пропозиції в асортименті "))))))</f>
        <v>див. рекомендований артикул напрямних</v>
      </c>
      <c r="E8" s="27"/>
      <c r="F8" s="28"/>
      <c r="G8" s="17"/>
      <c r="H8" s="17"/>
      <c r="I8" s="17"/>
      <c r="J8" s="17"/>
      <c r="K8" s="85"/>
      <c r="L8" s="86"/>
      <c r="M8" s="85"/>
      <c r="N8" s="87">
        <f>C8-C6</f>
        <v>334</v>
      </c>
      <c r="P8" s="4">
        <v>0</v>
      </c>
      <c r="Q8" s="4">
        <v>500</v>
      </c>
      <c r="R8" s="4">
        <v>0</v>
      </c>
      <c r="S8" s="4">
        <v>19</v>
      </c>
      <c r="T8" s="4">
        <v>139844</v>
      </c>
      <c r="U8" s="4" t="s">
        <v>6</v>
      </c>
      <c r="V8" s="4">
        <v>139844</v>
      </c>
      <c r="W8" s="2" t="s">
        <v>22</v>
      </c>
    </row>
    <row r="9" spans="1:23" ht="10.5" customHeight="1" thickBot="1" x14ac:dyDescent="0.3">
      <c r="A9" s="16"/>
      <c r="B9" s="17"/>
      <c r="C9" s="23"/>
      <c r="D9" s="23"/>
      <c r="E9" s="17"/>
      <c r="F9" s="17"/>
      <c r="G9" s="17"/>
      <c r="H9" s="17"/>
      <c r="I9" s="17"/>
      <c r="J9" s="17"/>
      <c r="K9" s="85"/>
      <c r="L9" s="86"/>
      <c r="M9" s="85"/>
      <c r="N9" s="6">
        <f>C4-(C6+C12)</f>
        <v>60</v>
      </c>
      <c r="P9" s="2">
        <v>139842</v>
      </c>
      <c r="Q9" s="2">
        <v>400</v>
      </c>
      <c r="R9" s="2">
        <v>139842</v>
      </c>
      <c r="S9" s="2" t="s">
        <v>24</v>
      </c>
      <c r="T9" s="2">
        <v>139842</v>
      </c>
      <c r="U9" s="2" t="s">
        <v>6</v>
      </c>
      <c r="V9" s="2">
        <v>139842</v>
      </c>
      <c r="W9" s="2" t="s">
        <v>22</v>
      </c>
    </row>
    <row r="10" spans="1:23" x14ac:dyDescent="0.25">
      <c r="A10" s="16"/>
      <c r="B10" s="29" t="s">
        <v>19</v>
      </c>
      <c r="C10" s="30" t="s">
        <v>10</v>
      </c>
      <c r="D10" s="30" t="s">
        <v>0</v>
      </c>
      <c r="E10" s="31" t="s">
        <v>11</v>
      </c>
      <c r="F10" s="17"/>
      <c r="G10" s="17"/>
      <c r="H10" s="17"/>
      <c r="I10" s="17"/>
      <c r="J10" s="17"/>
      <c r="K10" s="85"/>
      <c r="L10" s="86"/>
      <c r="M10" s="85"/>
      <c r="N10" s="6"/>
      <c r="P10" s="2">
        <v>0</v>
      </c>
      <c r="Q10" s="2">
        <v>400</v>
      </c>
      <c r="R10" s="2">
        <v>0</v>
      </c>
      <c r="S10" s="2">
        <v>19</v>
      </c>
      <c r="T10" s="2">
        <v>139842</v>
      </c>
      <c r="U10" s="2" t="s">
        <v>6</v>
      </c>
      <c r="V10" s="2">
        <v>139842</v>
      </c>
      <c r="W10" s="2" t="s">
        <v>22</v>
      </c>
    </row>
    <row r="11" spans="1:23" x14ac:dyDescent="0.25">
      <c r="A11" s="16"/>
      <c r="B11" s="32" t="s">
        <v>30</v>
      </c>
      <c r="C11" s="70" cm="1">
        <f t="array" ref="C11">IF(AND(D3:D6="коректно"),C3-2+C6*2,0)</f>
        <v>1230</v>
      </c>
      <c r="D11" s="70" cm="1">
        <f t="array" ref="D11">IF(AND(D3:D6="коректно"),C5,0)</f>
        <v>200</v>
      </c>
      <c r="E11" s="71" cm="1">
        <f t="array" ref="E11">IF(AND(D3:D6="коректно"),1,0)</f>
        <v>1</v>
      </c>
      <c r="F11" s="17"/>
      <c r="G11" s="17"/>
      <c r="H11" s="17"/>
      <c r="I11" s="17"/>
      <c r="J11" s="17"/>
      <c r="K11" s="85"/>
      <c r="L11" s="86"/>
      <c r="M11" s="85"/>
      <c r="N11" s="6"/>
      <c r="P11" s="2"/>
      <c r="Q11" s="2"/>
      <c r="R11" s="2"/>
      <c r="S11" s="2"/>
      <c r="T11" s="2"/>
      <c r="U11" s="2"/>
      <c r="V11" s="2"/>
      <c r="W11" s="2"/>
    </row>
    <row r="12" spans="1:23" x14ac:dyDescent="0.25">
      <c r="A12" s="16"/>
      <c r="B12" s="32" t="s">
        <v>36</v>
      </c>
      <c r="C12" s="33" cm="1">
        <f t="array" ref="C12">IF(AND(D3:D5="коректно",D6="коректно"),N8,0)</f>
        <v>334</v>
      </c>
      <c r="D12" s="33" cm="1">
        <f t="array" ref="D12">IF(AND(D4:D6="коректно",D3="коректно"),C3-49,0)</f>
        <v>1151</v>
      </c>
      <c r="E12" s="71" cm="1">
        <f t="array" ref="E12">IF(AND(D3:D6="коректно"),1,0)</f>
        <v>1</v>
      </c>
      <c r="F12" s="17"/>
      <c r="G12" s="17"/>
      <c r="H12" s="17"/>
      <c r="I12" s="17"/>
      <c r="J12" s="17"/>
      <c r="K12" s="85"/>
      <c r="L12" s="86"/>
      <c r="M12" s="85"/>
      <c r="N12" s="6"/>
      <c r="P12" s="2">
        <v>139845</v>
      </c>
      <c r="Q12" s="2">
        <v>550</v>
      </c>
      <c r="R12" s="2">
        <v>139845</v>
      </c>
      <c r="S12" s="2" t="s">
        <v>24</v>
      </c>
      <c r="T12" s="2">
        <v>139845</v>
      </c>
      <c r="U12" s="2" t="s">
        <v>6</v>
      </c>
      <c r="V12" s="2">
        <v>139845</v>
      </c>
      <c r="W12" s="2" t="s">
        <v>22</v>
      </c>
    </row>
    <row r="13" spans="1:23" x14ac:dyDescent="0.25">
      <c r="A13" s="16"/>
      <c r="B13" s="32" t="s">
        <v>12</v>
      </c>
      <c r="C13" s="33">
        <f>D12</f>
        <v>1151</v>
      </c>
      <c r="D13" s="33" cm="1">
        <f t="array" ref="D13">IF(AND(D3:D5= "коректно",D6="коректно"),C5-60,0)</f>
        <v>140</v>
      </c>
      <c r="E13" s="71" cm="1">
        <f t="array" ref="E13">IF(AND(D3:D6="коректно"),1,0)</f>
        <v>1</v>
      </c>
      <c r="F13" s="17"/>
      <c r="G13" s="17"/>
      <c r="H13" s="17"/>
      <c r="I13" s="17"/>
      <c r="J13" s="17"/>
      <c r="K13" s="17"/>
      <c r="L13" s="18"/>
      <c r="M13" s="6"/>
      <c r="N13" s="6"/>
      <c r="P13" s="2">
        <v>0</v>
      </c>
      <c r="Q13" s="2">
        <v>400</v>
      </c>
      <c r="R13" s="2">
        <v>0</v>
      </c>
      <c r="S13" s="2">
        <v>16</v>
      </c>
      <c r="T13" s="2">
        <v>0</v>
      </c>
      <c r="U13" s="2" t="s">
        <v>6</v>
      </c>
      <c r="V13" s="2">
        <v>0</v>
      </c>
      <c r="W13" s="2" t="s">
        <v>22</v>
      </c>
    </row>
    <row r="14" spans="1:23" x14ac:dyDescent="0.25">
      <c r="A14" s="16"/>
      <c r="B14" s="35" t="s">
        <v>13</v>
      </c>
      <c r="C14" s="36">
        <f>C13</f>
        <v>1151</v>
      </c>
      <c r="D14" s="36">
        <f>D13</f>
        <v>140</v>
      </c>
      <c r="E14" s="37" t="str" cm="1">
        <f t="array" ref="E14">IF(AND(D3:D6="коректно"),"1*",0)</f>
        <v>1*</v>
      </c>
      <c r="F14" s="41" t="s">
        <v>33</v>
      </c>
      <c r="G14" s="17"/>
      <c r="H14" s="17"/>
      <c r="I14" s="17"/>
      <c r="J14" s="17"/>
      <c r="K14" s="17"/>
      <c r="L14" s="18"/>
      <c r="M14" s="6"/>
      <c r="N14" s="6"/>
      <c r="P14" s="7">
        <v>0</v>
      </c>
      <c r="Q14" s="7">
        <v>550</v>
      </c>
      <c r="R14" s="7">
        <v>0</v>
      </c>
      <c r="S14" s="7">
        <v>19</v>
      </c>
      <c r="T14" s="7">
        <v>139845</v>
      </c>
      <c r="U14" s="2" t="s">
        <v>6</v>
      </c>
      <c r="V14" s="7">
        <v>139845</v>
      </c>
      <c r="W14" s="2" t="s">
        <v>22</v>
      </c>
    </row>
    <row r="15" spans="1:23" ht="15.75" customHeight="1" thickBot="1" x14ac:dyDescent="0.3">
      <c r="A15" s="16"/>
      <c r="B15" s="38" t="s">
        <v>14</v>
      </c>
      <c r="C15" s="39" cm="1">
        <f t="array" ref="C15">IF(AND(D4:D6="коректно",D3="коректно"),C12+C6,0)</f>
        <v>350</v>
      </c>
      <c r="D15" s="39">
        <f>IF(D13=0,0,D13+11)</f>
        <v>151</v>
      </c>
      <c r="E15" s="40" cm="1">
        <f t="array" ref="E15">IF(AND(D3:D6="коректно"),2,0)</f>
        <v>2</v>
      </c>
      <c r="F15" s="17"/>
      <c r="G15" s="17"/>
      <c r="H15" s="89"/>
      <c r="I15" s="6"/>
      <c r="J15" s="6"/>
      <c r="K15" s="6"/>
      <c r="L15" s="84"/>
      <c r="M15" s="6"/>
      <c r="N15" s="6"/>
      <c r="P15" s="7">
        <v>0</v>
      </c>
      <c r="Q15" s="7">
        <v>550</v>
      </c>
      <c r="R15" s="7">
        <v>0</v>
      </c>
      <c r="S15" s="7">
        <v>18</v>
      </c>
      <c r="T15" s="7">
        <v>139845</v>
      </c>
      <c r="U15" s="2" t="s">
        <v>6</v>
      </c>
      <c r="V15" s="7">
        <v>139845</v>
      </c>
      <c r="W15" s="2" t="s">
        <v>22</v>
      </c>
    </row>
    <row r="16" spans="1:23" ht="8.25" customHeight="1" thickBot="1" x14ac:dyDescent="0.3">
      <c r="A16" s="16"/>
      <c r="B16" s="17"/>
      <c r="C16" s="23"/>
      <c r="D16" s="23"/>
      <c r="E16" s="17"/>
      <c r="F16" s="17"/>
      <c r="G16" s="17"/>
      <c r="H16" s="88"/>
      <c r="I16" s="6"/>
      <c r="J16" s="6"/>
      <c r="K16" s="6"/>
      <c r="L16" s="84"/>
      <c r="M16" s="6"/>
      <c r="N16" s="6"/>
      <c r="P16" s="7">
        <v>139841</v>
      </c>
      <c r="Q16" s="7">
        <v>350</v>
      </c>
      <c r="R16" s="7">
        <v>139841</v>
      </c>
      <c r="S16" s="7" t="s">
        <v>24</v>
      </c>
      <c r="T16" s="7">
        <v>139841</v>
      </c>
      <c r="U16" s="2" t="s">
        <v>6</v>
      </c>
      <c r="V16" s="7">
        <v>139841</v>
      </c>
      <c r="W16" s="2" t="s">
        <v>22</v>
      </c>
    </row>
    <row r="17" spans="1:23" ht="29.25" customHeight="1" thickBot="1" x14ac:dyDescent="0.3">
      <c r="A17" s="42"/>
      <c r="B17" s="96" t="str">
        <f>IF(C18=0,"в асортименті немає пропозицій напрямних для зазначених параметрів тумби:", "рекомендований артикул напрямних прихованого монтажу:")</f>
        <v>рекомендований артикул напрямних прихованого монтажу:</v>
      </c>
      <c r="C17" s="97"/>
      <c r="D17" s="98"/>
      <c r="E17" s="43"/>
      <c r="F17" s="6"/>
      <c r="G17" s="6"/>
      <c r="H17" s="88"/>
      <c r="I17" s="6"/>
      <c r="J17" s="6"/>
      <c r="K17" s="6"/>
      <c r="L17" s="84"/>
      <c r="M17" s="99"/>
      <c r="N17" s="99"/>
      <c r="P17" s="7">
        <v>0</v>
      </c>
      <c r="Q17" s="7">
        <v>350</v>
      </c>
      <c r="R17" s="7">
        <v>0</v>
      </c>
      <c r="S17" s="7">
        <v>18</v>
      </c>
      <c r="T17" s="7">
        <v>139841</v>
      </c>
      <c r="U17" s="2" t="s">
        <v>6</v>
      </c>
      <c r="V17" s="7">
        <v>139841</v>
      </c>
      <c r="W17" s="2" t="s">
        <v>22</v>
      </c>
    </row>
    <row r="18" spans="1:23" ht="25.5" customHeight="1" thickBot="1" x14ac:dyDescent="0.3">
      <c r="A18" s="42"/>
      <c r="B18" s="46" t="s">
        <v>29</v>
      </c>
      <c r="C18" s="47">
        <f>IF(D12=0,0,_xlfn.IFNA(P44,0))</f>
        <v>139841</v>
      </c>
      <c r="D18" s="75">
        <f>IF(E12=0,0,_xlfn.IFNA(R44,0))</f>
        <v>139834</v>
      </c>
      <c r="E18" s="48"/>
      <c r="F18" s="83"/>
      <c r="G18" s="83"/>
      <c r="H18" s="106" t="str">
        <f>IF(OR(C5&gt;N3-1,N4&lt;C5),"Для стійкої роботи напрямних із введеними параметрами для ящика рекомендуємо використовувати стабілізатор 
GIFF PRIME арт. 138617*"," ")</f>
        <v xml:space="preserve"> </v>
      </c>
      <c r="I18" s="107"/>
      <c r="J18" s="107"/>
      <c r="K18" s="107"/>
      <c r="L18" s="108"/>
      <c r="M18" s="99"/>
      <c r="N18" s="99"/>
      <c r="P18" s="7">
        <v>139840</v>
      </c>
      <c r="Q18" s="7">
        <v>300</v>
      </c>
      <c r="R18" s="7">
        <v>139840</v>
      </c>
      <c r="S18" s="7" t="s">
        <v>24</v>
      </c>
      <c r="T18" s="7">
        <v>139840</v>
      </c>
      <c r="U18" s="2" t="s">
        <v>6</v>
      </c>
      <c r="V18" s="7">
        <v>139840</v>
      </c>
      <c r="W18" s="2" t="s">
        <v>22</v>
      </c>
    </row>
    <row r="19" spans="1:23" ht="15" customHeight="1" x14ac:dyDescent="0.25">
      <c r="A19" s="42"/>
      <c r="B19" s="19" t="s">
        <v>27</v>
      </c>
      <c r="C19" s="49">
        <f>IF(C18=0," ",VLOOKUP(P44,P3:Q21,2,FALSE))</f>
        <v>350</v>
      </c>
      <c r="D19" s="76">
        <f>IF(D18=0," ",VLOOKUP(R44,P24:Q41,2,FALSE))</f>
        <v>350</v>
      </c>
      <c r="E19" s="50"/>
      <c r="F19" s="83"/>
      <c r="G19" s="83"/>
      <c r="H19" s="109"/>
      <c r="I19" s="110"/>
      <c r="J19" s="110"/>
      <c r="K19" s="110"/>
      <c r="L19" s="111"/>
      <c r="M19" s="6"/>
      <c r="N19" s="6"/>
      <c r="P19" s="7">
        <v>0</v>
      </c>
      <c r="Q19" s="7">
        <v>300</v>
      </c>
      <c r="R19" s="7">
        <v>0</v>
      </c>
      <c r="S19" s="7">
        <v>18</v>
      </c>
      <c r="T19" s="7">
        <v>139840</v>
      </c>
      <c r="U19" s="2" t="s">
        <v>6</v>
      </c>
      <c r="V19" s="7">
        <v>139840</v>
      </c>
      <c r="W19" s="2" t="s">
        <v>22</v>
      </c>
    </row>
    <row r="20" spans="1:23" x14ac:dyDescent="0.25">
      <c r="A20" s="42"/>
      <c r="B20" s="19" t="s">
        <v>15</v>
      </c>
      <c r="C20" s="51" t="str">
        <f>IF(C18=0," ",VLOOKUP(P44,R3:S21,2,FALSE))</f>
        <v>16,18,19</v>
      </c>
      <c r="D20" s="77" t="str">
        <f>IF(D18=0," ",VLOOKUP(R44,R22:S41,2,FALSE))</f>
        <v>16,18,19</v>
      </c>
      <c r="E20" s="50"/>
      <c r="F20" s="50"/>
      <c r="G20" s="44"/>
      <c r="H20" s="109"/>
      <c r="I20" s="110"/>
      <c r="J20" s="110"/>
      <c r="K20" s="110"/>
      <c r="L20" s="111"/>
      <c r="M20" s="6"/>
      <c r="N20" s="6"/>
      <c r="P20" s="7">
        <v>139840</v>
      </c>
      <c r="Q20" s="7">
        <v>300</v>
      </c>
      <c r="R20" s="7">
        <v>0</v>
      </c>
      <c r="S20" s="7">
        <v>16</v>
      </c>
      <c r="T20" s="7">
        <v>139840</v>
      </c>
      <c r="U20" s="2" t="s">
        <v>6</v>
      </c>
      <c r="V20" s="7">
        <v>139840</v>
      </c>
      <c r="W20" s="2" t="s">
        <v>22</v>
      </c>
    </row>
    <row r="21" spans="1:23" x14ac:dyDescent="0.25">
      <c r="A21" s="42"/>
      <c r="B21" s="52" t="s">
        <v>16</v>
      </c>
      <c r="C21" s="53" t="str">
        <f>IF(C18=0," ",VLOOKUP(P44,T3:U21,2,FALSE))</f>
        <v>Clip 3D</v>
      </c>
      <c r="D21" s="78" t="str">
        <f>IF(D18=0," ",VLOOKUP(R44,T24:U41,2,FALSE))</f>
        <v>Clip 3D</v>
      </c>
      <c r="E21" s="6"/>
      <c r="F21" s="6"/>
      <c r="G21" s="6"/>
      <c r="H21" s="109"/>
      <c r="I21" s="110"/>
      <c r="J21" s="110"/>
      <c r="K21" s="110"/>
      <c r="L21" s="111"/>
      <c r="M21" s="6"/>
      <c r="N21" s="6"/>
      <c r="P21" s="7">
        <v>0</v>
      </c>
      <c r="Q21" s="2">
        <v>350</v>
      </c>
      <c r="R21" s="2">
        <v>0</v>
      </c>
      <c r="S21" s="2">
        <v>16</v>
      </c>
      <c r="T21" s="2">
        <v>139841</v>
      </c>
      <c r="U21" s="2" t="s">
        <v>6</v>
      </c>
      <c r="V21" s="2">
        <v>139841</v>
      </c>
      <c r="W21" s="2" t="s">
        <v>22</v>
      </c>
    </row>
    <row r="22" spans="1:23" ht="15.75" thickBot="1" x14ac:dyDescent="0.3">
      <c r="A22" s="42"/>
      <c r="B22" s="52" t="s">
        <v>17</v>
      </c>
      <c r="C22" s="81" t="str">
        <f>IF(C18=0," ",VLOOKUP(P44,V3:W21,2,FALSE))</f>
        <v>з відштовхувачем</v>
      </c>
      <c r="D22" s="82" t="str">
        <f>IF(D18=0," ",VLOOKUP(R44,V24:W41,2,FALSE))</f>
        <v>з дотягувачем</v>
      </c>
      <c r="E22" s="50"/>
      <c r="G22" s="44"/>
      <c r="H22" s="112"/>
      <c r="I22" s="113"/>
      <c r="J22" s="113"/>
      <c r="K22" s="113"/>
      <c r="L22" s="114"/>
      <c r="M22" s="6"/>
      <c r="N22" s="6"/>
    </row>
    <row r="23" spans="1:23" ht="15.75" thickBot="1" x14ac:dyDescent="0.3">
      <c r="A23" s="42"/>
      <c r="B23" s="24"/>
      <c r="C23" s="54"/>
      <c r="D23" s="55"/>
      <c r="E23" s="50"/>
      <c r="F23" s="90" t="str">
        <f>IF(OR(N9&gt;40,H18=" ")," ","*при використанні стабілізатора глибину корпусу  необхідно збільшити на +20мм")</f>
        <v xml:space="preserve"> </v>
      </c>
      <c r="G23" s="44"/>
      <c r="H23" s="44"/>
      <c r="I23" s="44"/>
      <c r="J23" s="44"/>
      <c r="K23" s="44"/>
      <c r="L23" s="45"/>
      <c r="M23" s="6"/>
      <c r="N23" s="6"/>
    </row>
    <row r="24" spans="1:23" x14ac:dyDescent="0.25">
      <c r="A24" s="42"/>
      <c r="B24" s="91" t="s">
        <v>18</v>
      </c>
      <c r="C24" s="91"/>
      <c r="D24" s="91"/>
      <c r="E24" s="56"/>
      <c r="F24" s="44"/>
      <c r="G24" s="44"/>
      <c r="H24" s="44"/>
      <c r="I24" s="44"/>
      <c r="J24" s="44"/>
      <c r="K24" s="44"/>
      <c r="L24" s="45"/>
      <c r="M24" s="6"/>
      <c r="N24" s="6"/>
      <c r="P24" s="2">
        <v>139837</v>
      </c>
      <c r="Q24" s="2">
        <v>500</v>
      </c>
      <c r="R24" s="2">
        <v>139837</v>
      </c>
      <c r="S24" s="2" t="s">
        <v>24</v>
      </c>
      <c r="T24" s="2">
        <v>139837</v>
      </c>
      <c r="U24" s="2" t="s">
        <v>6</v>
      </c>
      <c r="V24" s="2">
        <v>139837</v>
      </c>
      <c r="W24" s="2" t="s">
        <v>23</v>
      </c>
    </row>
    <row r="25" spans="1:23" ht="15" customHeight="1" thickBot="1" x14ac:dyDescent="0.3">
      <c r="A25" s="57"/>
      <c r="B25" s="92"/>
      <c r="C25" s="92"/>
      <c r="D25" s="92"/>
      <c r="E25" s="92"/>
      <c r="F25" s="92"/>
      <c r="G25" s="58"/>
      <c r="H25" s="58"/>
      <c r="I25" s="58"/>
      <c r="J25" s="58"/>
      <c r="K25" s="58"/>
      <c r="L25" s="59"/>
      <c r="M25" s="6"/>
      <c r="N25" s="6"/>
      <c r="P25" s="2">
        <v>139837</v>
      </c>
      <c r="Q25" s="2">
        <v>500</v>
      </c>
      <c r="R25" s="2">
        <v>139837</v>
      </c>
      <c r="S25" s="2">
        <v>19</v>
      </c>
      <c r="T25" s="2">
        <v>139837</v>
      </c>
      <c r="U25" s="2" t="s">
        <v>6</v>
      </c>
      <c r="V25" s="2">
        <v>139837</v>
      </c>
      <c r="W25" s="2" t="s">
        <v>23</v>
      </c>
    </row>
    <row r="26" spans="1:23" ht="9" customHeight="1" thickBot="1" x14ac:dyDescent="0.3">
      <c r="A26" s="58"/>
      <c r="B26" s="58"/>
      <c r="C26" s="54"/>
      <c r="D26" s="54"/>
      <c r="E26" s="58"/>
      <c r="F26" s="58"/>
      <c r="G26" s="58"/>
      <c r="H26" s="58"/>
      <c r="I26" s="58"/>
      <c r="J26" s="58"/>
      <c r="K26" s="58"/>
      <c r="L26" s="58"/>
      <c r="M26" s="6"/>
      <c r="N26" s="6"/>
      <c r="P26" s="2">
        <v>139838</v>
      </c>
      <c r="Q26" s="2">
        <v>550</v>
      </c>
      <c r="R26" s="2">
        <v>139838</v>
      </c>
      <c r="S26" s="2" t="s">
        <v>24</v>
      </c>
      <c r="T26" s="2">
        <v>139838</v>
      </c>
      <c r="U26" s="2" t="s">
        <v>6</v>
      </c>
      <c r="V26" s="2">
        <v>139838</v>
      </c>
      <c r="W26" s="2" t="s">
        <v>23</v>
      </c>
    </row>
    <row r="27" spans="1:23" ht="12.75" customHeight="1" thickBot="1" x14ac:dyDescent="0.3">
      <c r="A27" s="12"/>
      <c r="B27" s="13"/>
      <c r="C27" s="14"/>
      <c r="D27" s="14"/>
      <c r="E27" s="13"/>
      <c r="F27" s="13"/>
      <c r="G27" s="13"/>
      <c r="H27" s="13"/>
      <c r="I27" s="13"/>
      <c r="J27" s="13"/>
      <c r="K27" s="13"/>
      <c r="L27" s="15"/>
      <c r="M27" s="6"/>
      <c r="P27" s="2">
        <v>139838</v>
      </c>
      <c r="Q27" s="2">
        <v>550</v>
      </c>
      <c r="R27" s="2">
        <v>139838</v>
      </c>
      <c r="S27" s="2">
        <v>19</v>
      </c>
      <c r="T27" s="2">
        <v>139838</v>
      </c>
      <c r="U27" s="2" t="s">
        <v>6</v>
      </c>
      <c r="V27" s="2">
        <v>139838</v>
      </c>
      <c r="W27" s="2" t="s">
        <v>23</v>
      </c>
    </row>
    <row r="28" spans="1:23" ht="22.5" customHeight="1" x14ac:dyDescent="0.25">
      <c r="A28" s="16"/>
      <c r="B28" s="103" t="s">
        <v>32</v>
      </c>
      <c r="C28" s="104"/>
      <c r="D28" s="104"/>
      <c r="E28" s="104"/>
      <c r="F28" s="105"/>
      <c r="G28" s="17"/>
      <c r="H28" s="17"/>
      <c r="I28" s="17"/>
      <c r="J28" s="17"/>
      <c r="K28" s="17"/>
      <c r="L28" s="18"/>
      <c r="N28">
        <f>C29</f>
        <v>500</v>
      </c>
      <c r="P28" s="2">
        <v>139836</v>
      </c>
      <c r="Q28" s="2">
        <v>450</v>
      </c>
      <c r="R28" s="2">
        <v>139836</v>
      </c>
      <c r="S28" s="2" t="s">
        <v>24</v>
      </c>
      <c r="T28" s="2">
        <v>139836</v>
      </c>
      <c r="U28" s="2" t="s">
        <v>6</v>
      </c>
      <c r="V28" s="2">
        <v>139836</v>
      </c>
      <c r="W28" s="2" t="s">
        <v>23</v>
      </c>
    </row>
    <row r="29" spans="1:23" x14ac:dyDescent="0.25">
      <c r="A29" s="16"/>
      <c r="B29" s="19" t="s">
        <v>7</v>
      </c>
      <c r="C29" s="68">
        <v>500</v>
      </c>
      <c r="D29" s="20" t="str">
        <f>IF(C29&gt;1200,"некоректно!!!Необхідно зменшити розмір корпусу по ширині",IF(C29&lt;250,"некоректно!! Необхідно збільшити розмір корпуси по ширині","коректно"))</f>
        <v>коректно</v>
      </c>
      <c r="E29" s="17"/>
      <c r="F29" s="18"/>
      <c r="G29" s="17"/>
      <c r="H29" s="6"/>
      <c r="I29" s="6"/>
      <c r="J29" s="6"/>
      <c r="K29" s="6"/>
      <c r="L29" s="18"/>
      <c r="N29">
        <f>C35*0.8+1</f>
        <v>281</v>
      </c>
      <c r="P29" s="2">
        <v>139836</v>
      </c>
      <c r="Q29" s="2">
        <v>450</v>
      </c>
      <c r="R29" s="2">
        <v>139836</v>
      </c>
      <c r="S29" s="2">
        <v>19</v>
      </c>
      <c r="T29" s="2">
        <v>139836</v>
      </c>
      <c r="U29" s="2" t="s">
        <v>6</v>
      </c>
      <c r="V29" s="2">
        <v>139836</v>
      </c>
      <c r="W29" s="2" t="s">
        <v>23</v>
      </c>
    </row>
    <row r="30" spans="1:23" x14ac:dyDescent="0.25">
      <c r="A30" s="16"/>
      <c r="B30" s="19" t="s">
        <v>8</v>
      </c>
      <c r="C30" s="68">
        <v>400</v>
      </c>
      <c r="D30" s="20" t="str">
        <f>IF(AND(C30&lt;601,C30&gt;337), "коректно", "некоректно!! Глибина у діапазоні  338-601мм")</f>
        <v>коректно</v>
      </c>
      <c r="E30" s="17"/>
      <c r="F30" s="18"/>
      <c r="G30" s="17"/>
      <c r="H30" s="6"/>
      <c r="I30" s="6"/>
      <c r="J30" s="6"/>
      <c r="K30" s="6"/>
      <c r="L30" s="18"/>
      <c r="P30" s="2">
        <v>139835</v>
      </c>
      <c r="Q30" s="2">
        <v>400</v>
      </c>
      <c r="R30" s="2">
        <v>139835</v>
      </c>
      <c r="S30" s="2" t="s">
        <v>24</v>
      </c>
      <c r="T30" s="2">
        <v>139835</v>
      </c>
      <c r="U30" s="2" t="s">
        <v>6</v>
      </c>
      <c r="V30" s="2">
        <v>139835</v>
      </c>
      <c r="W30" s="2" t="s">
        <v>23</v>
      </c>
    </row>
    <row r="31" spans="1:23" x14ac:dyDescent="0.25">
      <c r="A31" s="16"/>
      <c r="B31" s="19" t="s">
        <v>37</v>
      </c>
      <c r="C31" s="68">
        <v>500</v>
      </c>
      <c r="D31" s="20" t="str">
        <f>IF(C31&lt;109,"некоректно!! збільшити висоту Фасада",IF(C31&gt;500,"некоректно!!! Дуже висока боковина ящика","коректно"))</f>
        <v>коректно</v>
      </c>
      <c r="E31" s="17"/>
      <c r="F31" s="18"/>
      <c r="G31" s="17"/>
      <c r="H31" s="6"/>
      <c r="I31" s="6"/>
      <c r="J31" s="6"/>
      <c r="K31" s="6"/>
      <c r="L31" s="18"/>
      <c r="N31" s="11">
        <f>C32+2</f>
        <v>20</v>
      </c>
      <c r="P31" s="2">
        <v>139835</v>
      </c>
      <c r="Q31" s="2">
        <v>400</v>
      </c>
      <c r="R31" s="2">
        <v>139835</v>
      </c>
      <c r="S31" s="2">
        <v>19</v>
      </c>
      <c r="T31" s="2">
        <v>139835</v>
      </c>
      <c r="U31" s="2" t="s">
        <v>6</v>
      </c>
      <c r="V31" s="2">
        <v>139835</v>
      </c>
      <c r="W31" s="2" t="s">
        <v>23</v>
      </c>
    </row>
    <row r="32" spans="1:23" x14ac:dyDescent="0.25">
      <c r="A32" s="16"/>
      <c r="B32" s="21" t="s">
        <v>9</v>
      </c>
      <c r="C32" s="69">
        <v>18</v>
      </c>
      <c r="D32" s="22" t="str">
        <f>IF(C32=16,"коректно",IF(C32=18,"коректно",IF(C32=19,"коректно","некоректно!!! вибрати: або 16 або 18 або 19")))</f>
        <v>коректно</v>
      </c>
      <c r="E32" s="17"/>
      <c r="F32" s="18"/>
      <c r="G32" s="17"/>
      <c r="H32" s="17"/>
      <c r="I32" s="17"/>
      <c r="J32" s="17"/>
      <c r="K32" s="17"/>
      <c r="L32" s="18"/>
      <c r="M32" s="6"/>
      <c r="N32" s="10">
        <f>IF(D33="коректно",C30-C33-19,0)</f>
        <v>362</v>
      </c>
      <c r="P32" s="2">
        <v>139834</v>
      </c>
      <c r="Q32" s="2">
        <v>350</v>
      </c>
      <c r="R32" s="2">
        <v>139834</v>
      </c>
      <c r="S32" s="2" t="s">
        <v>24</v>
      </c>
      <c r="T32" s="2">
        <v>139834</v>
      </c>
      <c r="U32" s="2" t="s">
        <v>6</v>
      </c>
      <c r="V32" s="2">
        <v>139834</v>
      </c>
      <c r="W32" s="2" t="s">
        <v>23</v>
      </c>
    </row>
    <row r="33" spans="1:23" x14ac:dyDescent="0.25">
      <c r="A33" s="16"/>
      <c r="B33" s="21" t="s">
        <v>20</v>
      </c>
      <c r="C33" s="69">
        <v>19</v>
      </c>
      <c r="D33" s="22" t="str">
        <f>IF(C33=16,"коректно",IF(C33=18,"коректно",IF(C33=19,"коректно","некоректно!!! вибрати: або 16 або 18 або 19")))</f>
        <v>коректно</v>
      </c>
      <c r="E33" s="17"/>
      <c r="F33" s="18"/>
      <c r="G33" s="17"/>
      <c r="H33" s="17"/>
      <c r="I33" s="17"/>
      <c r="J33" s="17"/>
      <c r="K33" s="17"/>
      <c r="L33" s="18"/>
      <c r="M33" s="6"/>
      <c r="N33" s="6"/>
      <c r="P33" s="2">
        <v>139834</v>
      </c>
      <c r="Q33" s="2">
        <v>350</v>
      </c>
      <c r="R33" s="2">
        <v>139834</v>
      </c>
      <c r="S33" s="2">
        <v>19</v>
      </c>
      <c r="T33" s="2">
        <v>139834</v>
      </c>
      <c r="U33" s="2" t="s">
        <v>6</v>
      </c>
      <c r="V33" s="2">
        <v>139834</v>
      </c>
      <c r="W33" s="2" t="s">
        <v>23</v>
      </c>
    </row>
    <row r="34" spans="1:23" x14ac:dyDescent="0.25">
      <c r="A34" s="16"/>
      <c r="B34" s="16"/>
      <c r="C34" s="23"/>
      <c r="D34" s="23"/>
      <c r="E34" s="17"/>
      <c r="F34" s="18"/>
      <c r="G34" s="17"/>
      <c r="H34" s="17"/>
      <c r="I34" s="17"/>
      <c r="J34" s="17"/>
      <c r="K34" s="17"/>
      <c r="L34" s="18"/>
      <c r="M34" s="6"/>
      <c r="N34" s="6"/>
      <c r="P34" s="2">
        <v>139833</v>
      </c>
      <c r="Q34" s="2">
        <v>300</v>
      </c>
      <c r="R34" s="2">
        <v>139833</v>
      </c>
      <c r="S34" s="2" t="s">
        <v>24</v>
      </c>
      <c r="T34" s="2">
        <v>139833</v>
      </c>
      <c r="U34" s="2" t="s">
        <v>6</v>
      </c>
      <c r="V34" s="2">
        <v>139833</v>
      </c>
      <c r="W34" s="2" t="s">
        <v>23</v>
      </c>
    </row>
    <row r="35" spans="1:23" ht="15.75" thickBot="1" x14ac:dyDescent="0.3">
      <c r="A35" s="16"/>
      <c r="B35" s="24" t="s">
        <v>26</v>
      </c>
      <c r="C35" s="25">
        <f>IF(AND(N32&gt;299,N32&lt;350),300,IF(AND(N32&gt;349,N32&lt;400),350,IF(AND(N32&gt;399,N32&lt;450),400,IF(AND(N32&gt;449,N32&lt;500),450,IF(AND(N32&gt;499,N32&lt;550),500,IF(AND(N32&gt;549,N32&lt;600),550,0))))))</f>
        <v>350</v>
      </c>
      <c r="D35" s="26" t="str">
        <f>IF(C35=300, "див. рекомендований артикул напрямних",IF(C35=350, "див. рекомендований артикул напрямних", IF(C35=400,"див. рекомендований артикул напрямних",IF(C35=450,"див. рекомендований артикул напрямних",IF(C35=500,"див. рекомендований артикул напрямних",IF(C35=550,"див. рекомендований артикул напрямних", "немає пропозиції в асортименті"))))))</f>
        <v>див. рекомендований артикул напрямних</v>
      </c>
      <c r="E35" s="27"/>
      <c r="F35" s="28"/>
      <c r="G35" s="17"/>
      <c r="H35" s="17"/>
      <c r="I35" s="17"/>
      <c r="J35" s="17"/>
      <c r="K35" s="17"/>
      <c r="L35" s="18"/>
      <c r="M35" s="6"/>
      <c r="N35" s="6"/>
      <c r="P35" s="2">
        <v>139833</v>
      </c>
      <c r="Q35" s="2">
        <v>300</v>
      </c>
      <c r="R35" s="2">
        <v>139833</v>
      </c>
      <c r="S35" s="2">
        <v>19</v>
      </c>
      <c r="T35" s="2">
        <v>139833</v>
      </c>
      <c r="U35" s="2" t="s">
        <v>6</v>
      </c>
      <c r="V35" s="2">
        <v>139833</v>
      </c>
      <c r="W35" s="2" t="s">
        <v>23</v>
      </c>
    </row>
    <row r="36" spans="1:23" ht="7.5" customHeight="1" thickBot="1" x14ac:dyDescent="0.3">
      <c r="A36" s="16"/>
      <c r="B36" s="17"/>
      <c r="C36" s="23"/>
      <c r="D36" s="23"/>
      <c r="E36" s="17"/>
      <c r="F36" s="17"/>
      <c r="G36" s="17"/>
      <c r="H36" s="17"/>
      <c r="I36" s="17"/>
      <c r="J36" s="17"/>
      <c r="K36" s="17"/>
      <c r="L36" s="18"/>
      <c r="M36" s="6"/>
      <c r="P36" s="9">
        <v>139838</v>
      </c>
      <c r="Q36" s="9">
        <v>550</v>
      </c>
      <c r="R36" s="9">
        <v>139838</v>
      </c>
      <c r="S36" s="9">
        <v>16</v>
      </c>
      <c r="T36" s="9">
        <v>139838</v>
      </c>
      <c r="U36" s="2" t="s">
        <v>6</v>
      </c>
      <c r="V36" s="9">
        <v>139838</v>
      </c>
      <c r="W36" s="2" t="s">
        <v>23</v>
      </c>
    </row>
    <row r="37" spans="1:23" x14ac:dyDescent="0.25">
      <c r="A37" s="16"/>
      <c r="B37" s="29" t="s">
        <v>21</v>
      </c>
      <c r="C37" s="30" t="s">
        <v>10</v>
      </c>
      <c r="D37" s="30" t="s">
        <v>0</v>
      </c>
      <c r="E37" s="31" t="s">
        <v>11</v>
      </c>
      <c r="F37" s="17"/>
      <c r="G37" s="17"/>
      <c r="H37" s="17"/>
      <c r="I37" s="17"/>
      <c r="J37" s="17"/>
      <c r="K37" s="17"/>
      <c r="L37" s="18"/>
      <c r="M37" s="6"/>
      <c r="N37" s="6">
        <f xml:space="preserve"> C30-(C39+C33+C32)</f>
        <v>31</v>
      </c>
      <c r="P37" s="2">
        <v>139837</v>
      </c>
      <c r="Q37" s="2">
        <v>500</v>
      </c>
      <c r="R37" s="2">
        <v>139837</v>
      </c>
      <c r="S37" s="2">
        <v>16</v>
      </c>
      <c r="T37" s="2">
        <v>139837</v>
      </c>
      <c r="U37" s="2" t="s">
        <v>6</v>
      </c>
      <c r="V37" s="2">
        <v>139837</v>
      </c>
      <c r="W37" s="2" t="s">
        <v>23</v>
      </c>
    </row>
    <row r="38" spans="1:23" x14ac:dyDescent="0.25">
      <c r="A38" s="16"/>
      <c r="B38" s="32" t="s">
        <v>34</v>
      </c>
      <c r="C38" s="70" cm="1">
        <f t="array" ref="C38">IF(AND(D29:D33="Коректно"),C29-4,0)</f>
        <v>496</v>
      </c>
      <c r="D38" s="70" cm="1">
        <f t="array" ref="D38">IF(AND(D29:D33="коректно"),C31,0)</f>
        <v>500</v>
      </c>
      <c r="E38" s="71" cm="1">
        <f t="array" ref="E38">IF(AND(D29:D33="коректно"),1,0)</f>
        <v>1</v>
      </c>
      <c r="F38" s="17"/>
      <c r="G38" s="17"/>
      <c r="H38" s="17"/>
      <c r="I38" s="17"/>
      <c r="J38" s="17"/>
      <c r="K38" s="17"/>
      <c r="L38" s="18"/>
      <c r="M38" s="6"/>
      <c r="N38" s="6"/>
      <c r="P38" s="2"/>
      <c r="Q38" s="2"/>
      <c r="R38" s="2"/>
      <c r="S38" s="2"/>
      <c r="T38" s="2"/>
      <c r="U38" s="2"/>
      <c r="V38" s="2"/>
      <c r="W38" s="2"/>
    </row>
    <row r="39" spans="1:23" x14ac:dyDescent="0.25">
      <c r="A39" s="16"/>
      <c r="B39" s="32" t="s">
        <v>36</v>
      </c>
      <c r="C39" s="33" cm="1">
        <f t="array" ref="C39">IF(AND(D32:D33="коректно",D29:D31="коректно"),C35-C32,0)</f>
        <v>332</v>
      </c>
      <c r="D39" s="33" cm="1">
        <f t="array" ref="D39">IF(AND(D32:D33="коректно",D29:D31="коректно"),C29-49,0)</f>
        <v>451</v>
      </c>
      <c r="E39" s="34" cm="1">
        <f t="array" ref="E39">IF(AND(D29:D33="коректно"),1,0)</f>
        <v>1</v>
      </c>
      <c r="F39" s="17"/>
      <c r="G39" s="17"/>
      <c r="H39" s="17"/>
      <c r="I39" s="17"/>
      <c r="J39" s="17"/>
      <c r="K39" s="17"/>
      <c r="L39" s="18"/>
      <c r="M39" s="6"/>
      <c r="N39" s="6"/>
      <c r="P39" s="2">
        <v>139836</v>
      </c>
      <c r="Q39" s="2">
        <v>450</v>
      </c>
      <c r="R39" s="2">
        <v>139836</v>
      </c>
      <c r="S39" s="2">
        <v>16</v>
      </c>
      <c r="T39" s="2">
        <v>139836</v>
      </c>
      <c r="U39" s="2" t="s">
        <v>6</v>
      </c>
      <c r="V39" s="2">
        <v>139836</v>
      </c>
      <c r="W39" s="2" t="s">
        <v>23</v>
      </c>
    </row>
    <row r="40" spans="1:23" x14ac:dyDescent="0.25">
      <c r="A40" s="16"/>
      <c r="B40" s="32" t="s">
        <v>12</v>
      </c>
      <c r="C40" s="33">
        <f>D39</f>
        <v>451</v>
      </c>
      <c r="D40" s="33" cm="1">
        <f t="array" ref="D40">IF(AND(D32:D33="коректно",D29:D31= "коректно"),C31-50,0)</f>
        <v>450</v>
      </c>
      <c r="E40" s="34" cm="1">
        <f t="array" ref="E40">IF(AND(D29:D33="коректно"),1,0)</f>
        <v>1</v>
      </c>
      <c r="F40" s="17"/>
      <c r="G40" s="17"/>
      <c r="H40" s="17"/>
      <c r="I40" s="17"/>
      <c r="J40" s="17"/>
      <c r="K40" s="17"/>
      <c r="L40" s="18"/>
      <c r="M40" s="6"/>
      <c r="N40" s="6"/>
      <c r="P40" s="9">
        <v>139834</v>
      </c>
      <c r="Q40" s="9">
        <v>350</v>
      </c>
      <c r="R40" s="9">
        <v>139834</v>
      </c>
      <c r="S40" s="9">
        <v>16</v>
      </c>
      <c r="T40" s="9">
        <v>139834</v>
      </c>
      <c r="U40" s="2" t="s">
        <v>6</v>
      </c>
      <c r="V40" s="9">
        <v>139834</v>
      </c>
      <c r="W40" s="2" t="s">
        <v>23</v>
      </c>
    </row>
    <row r="41" spans="1:23" x14ac:dyDescent="0.25">
      <c r="A41" s="16"/>
      <c r="B41" s="32" t="s">
        <v>13</v>
      </c>
      <c r="C41" s="60">
        <f>C40</f>
        <v>451</v>
      </c>
      <c r="D41" s="60">
        <f>D40</f>
        <v>450</v>
      </c>
      <c r="E41" s="61" t="str" cm="1">
        <f t="array" ref="E41">IF(AND(D29:D33="коректно"),"1*",0)</f>
        <v>1*</v>
      </c>
      <c r="F41" s="41" t="s">
        <v>33</v>
      </c>
      <c r="G41" s="17"/>
      <c r="H41" s="17"/>
      <c r="I41" s="17"/>
      <c r="J41" s="17"/>
      <c r="K41" s="17"/>
      <c r="L41" s="18"/>
      <c r="M41" s="6"/>
      <c r="N41" s="6"/>
      <c r="P41" s="2">
        <v>139835</v>
      </c>
      <c r="Q41" s="2">
        <v>400</v>
      </c>
      <c r="R41" s="2">
        <v>139835</v>
      </c>
      <c r="S41" s="2">
        <v>16</v>
      </c>
      <c r="T41" s="2">
        <v>139835</v>
      </c>
      <c r="U41" s="2" t="s">
        <v>6</v>
      </c>
      <c r="V41" s="2">
        <v>139835</v>
      </c>
      <c r="W41" s="2" t="s">
        <v>23</v>
      </c>
    </row>
    <row r="42" spans="1:23" ht="15.75" thickBot="1" x14ac:dyDescent="0.3">
      <c r="A42" s="16"/>
      <c r="B42" s="38" t="s">
        <v>14</v>
      </c>
      <c r="C42" s="39" cm="1">
        <f t="array" ref="C42">IF(AND(D29:D31="коректно",D32:D33="коректно"),C39+C32,0)</f>
        <v>350</v>
      </c>
      <c r="D42" s="39">
        <f>IF(D40=0,0,D40+11)</f>
        <v>461</v>
      </c>
      <c r="E42" s="40" cm="1">
        <f t="array" ref="E42">IF(AND(D29:D33="коректно"),2,0)</f>
        <v>2</v>
      </c>
      <c r="F42" s="17"/>
      <c r="G42" s="17"/>
      <c r="H42" s="17"/>
      <c r="I42" s="17"/>
      <c r="J42" s="17"/>
      <c r="K42" s="17"/>
      <c r="L42" s="18"/>
      <c r="M42" s="6"/>
      <c r="N42" s="6"/>
      <c r="P42" s="5"/>
      <c r="Q42" s="5"/>
      <c r="R42" s="5"/>
      <c r="S42" s="5"/>
      <c r="T42" s="5"/>
      <c r="U42" s="5"/>
      <c r="V42" s="5"/>
      <c r="W42" s="5"/>
    </row>
    <row r="43" spans="1:23" ht="8.25" customHeight="1" thickBot="1" x14ac:dyDescent="0.3">
      <c r="A43" s="42"/>
      <c r="B43" s="17"/>
      <c r="C43" s="23"/>
      <c r="D43" s="23"/>
      <c r="E43" s="17"/>
      <c r="F43" s="17"/>
      <c r="G43" s="44"/>
      <c r="H43" s="44"/>
      <c r="I43" s="6"/>
      <c r="J43" s="6"/>
      <c r="K43" s="6"/>
      <c r="L43" s="84"/>
      <c r="M43" s="6"/>
      <c r="N43" s="6"/>
      <c r="P43" s="5"/>
      <c r="Q43" s="5"/>
      <c r="R43" s="5"/>
      <c r="S43" s="5"/>
      <c r="T43" s="5"/>
      <c r="U43" s="5"/>
      <c r="V43" s="5"/>
      <c r="W43" s="5"/>
    </row>
    <row r="44" spans="1:23" ht="24" customHeight="1" thickBot="1" x14ac:dyDescent="0.3">
      <c r="A44" s="42"/>
      <c r="B44" s="93" t="str">
        <f>IF(AND(C45=0,D45=0),"в асортименті немає пропозицій напрямних для зазначених параметрів тумби:", "рекомендований артикул напрямних прихованого монтажу:")</f>
        <v>рекомендований артикул напрямних прихованого монтажу:</v>
      </c>
      <c r="C44" s="94"/>
      <c r="D44" s="95"/>
      <c r="E44" s="72"/>
      <c r="F44" s="44"/>
      <c r="G44" s="44"/>
      <c r="H44" s="44"/>
      <c r="I44" s="6"/>
      <c r="J44" s="6"/>
      <c r="K44" s="6"/>
      <c r="L44" s="84"/>
      <c r="M44" s="6"/>
      <c r="N44" s="6"/>
      <c r="P44" s="8">
        <f>INDEX(P3:P21,MATCH(C8,Q3:Q21,0))</f>
        <v>139841</v>
      </c>
      <c r="Q44" s="8" cm="1">
        <f t="array" ref="Q44">INDEX(P3:P21,MATCH(C8&amp;C6,Q3:Q21&amp;S3:S21,0))</f>
        <v>0</v>
      </c>
      <c r="R44" s="8">
        <f>INDEX(P24:P41,MATCH(C8,Q24:Q41,0))</f>
        <v>139834</v>
      </c>
      <c r="S44" s="8" t="e" cm="1">
        <f t="array" ref="S44">INDEX(P24:P41,MATCH(C8&amp;N6,Q24:Q41&amp;S24:S41,0))</f>
        <v>#N/A</v>
      </c>
      <c r="T44" s="5"/>
      <c r="U44" s="5"/>
      <c r="V44" s="5"/>
      <c r="W44" s="5"/>
    </row>
    <row r="45" spans="1:23" ht="22.5" customHeight="1" x14ac:dyDescent="0.25">
      <c r="A45" s="42"/>
      <c r="B45" s="46" t="s">
        <v>28</v>
      </c>
      <c r="C45" s="62">
        <f>IF(C39=0,0,_xlfn.IFNA(P48,0))</f>
        <v>139841</v>
      </c>
      <c r="D45" s="73">
        <f>IF(C39=0,0,_xlfn.IFNA(R48,0))</f>
        <v>139834</v>
      </c>
      <c r="E45" s="44"/>
      <c r="F45" s="48"/>
      <c r="G45" s="44"/>
      <c r="H45" s="106" t="str">
        <f>IF(OR(C31&gt;N28-1,N29&lt;C31),"Для стійкої роботи напрямних із введеними параметрами для ящика рекомендуємо використовувати стабілізатор 
GIFF PRIME арт. 138617"," ")</f>
        <v>Для стійкої роботи напрямних із введеними параметрами для ящика рекомендуємо використовувати стабілізатор 
GIFF PRIME арт. 138617</v>
      </c>
      <c r="I45" s="107"/>
      <c r="J45" s="107"/>
      <c r="K45" s="107"/>
      <c r="L45" s="108"/>
      <c r="M45" s="6"/>
      <c r="N45" s="6"/>
      <c r="P45" s="5"/>
      <c r="Q45" s="5"/>
      <c r="R45" s="5"/>
      <c r="S45" s="5"/>
      <c r="T45" s="5"/>
      <c r="U45" s="5"/>
      <c r="V45" s="5"/>
      <c r="W45" s="5"/>
    </row>
    <row r="46" spans="1:23" x14ac:dyDescent="0.25">
      <c r="A46" s="42"/>
      <c r="B46" s="19" t="s">
        <v>27</v>
      </c>
      <c r="C46" s="63">
        <f>IF(C45=0," ",VLOOKUP(P48,P3:Q41,2,FALSE))</f>
        <v>350</v>
      </c>
      <c r="D46" s="74">
        <f>IF(D45=0," ",VLOOKUP(R48,P3:Q41,2,FALSE))</f>
        <v>350</v>
      </c>
      <c r="E46" s="44"/>
      <c r="F46" s="50"/>
      <c r="G46" s="44"/>
      <c r="H46" s="109"/>
      <c r="I46" s="110"/>
      <c r="J46" s="110"/>
      <c r="K46" s="110"/>
      <c r="L46" s="111"/>
      <c r="M46" s="6"/>
      <c r="N46" s="6"/>
      <c r="P46" s="5"/>
      <c r="Q46" s="5"/>
      <c r="R46" s="5"/>
      <c r="S46" s="5"/>
      <c r="T46" s="5"/>
      <c r="U46" s="5"/>
      <c r="V46" s="5"/>
      <c r="W46" s="5"/>
    </row>
    <row r="47" spans="1:23" x14ac:dyDescent="0.25">
      <c r="A47" s="42"/>
      <c r="B47" s="19" t="s">
        <v>15</v>
      </c>
      <c r="C47" s="63" t="str">
        <f>IF(C45=0," ",VLOOKUP(P48,R3:S21,2,FALSE))</f>
        <v>16,18,19</v>
      </c>
      <c r="D47" s="74" t="str">
        <f>IF(D45=0," ",VLOOKUP(R48,R24:S41,2,FALSE))</f>
        <v>16,18,19</v>
      </c>
      <c r="E47" s="44"/>
      <c r="F47" s="50"/>
      <c r="G47" s="44"/>
      <c r="H47" s="109"/>
      <c r="I47" s="110"/>
      <c r="J47" s="110"/>
      <c r="K47" s="110"/>
      <c r="L47" s="111"/>
      <c r="P47" s="5"/>
      <c r="Q47" s="5"/>
      <c r="R47" s="5"/>
      <c r="S47" s="5"/>
      <c r="T47" s="5"/>
      <c r="U47" s="5"/>
      <c r="V47" s="5"/>
      <c r="W47" s="5"/>
    </row>
    <row r="48" spans="1:23" x14ac:dyDescent="0.25">
      <c r="A48" s="42"/>
      <c r="B48" s="52" t="s">
        <v>16</v>
      </c>
      <c r="C48" s="63" t="str">
        <f>IF(C45=0," ",VLOOKUP(P48,T3:U41,2,FALSE))</f>
        <v>Clip 3D</v>
      </c>
      <c r="D48" s="74" t="str">
        <f>IF(D45=0," ",VLOOKUP(D45,T3:U41,2,FALSE))</f>
        <v>Clip 3D</v>
      </c>
      <c r="E48" s="44"/>
      <c r="F48" s="50"/>
      <c r="G48" s="44"/>
      <c r="H48" s="109"/>
      <c r="I48" s="110"/>
      <c r="J48" s="110"/>
      <c r="K48" s="110"/>
      <c r="L48" s="111"/>
      <c r="P48" s="8">
        <f>INDEX(P3:P21,MATCH(C35,Q3:Q21,0))</f>
        <v>139841</v>
      </c>
      <c r="Q48" s="8" t="e" cm="1">
        <f t="array" ref="Q48">INDEX(P3:P21,MATCH(C35&amp;N31,Q3:Q21&amp;S3:S21,0))</f>
        <v>#N/A</v>
      </c>
      <c r="R48" s="8">
        <f>INDEX(P24:P41,MATCH(C35,Q24:Q41,0))</f>
        <v>139834</v>
      </c>
      <c r="S48" s="8" t="e">
        <f t="array" ref="S48">INDEX(P24:P41,MATCH(C35&amp;N31,Q24:Q41&amp;S24:S41,0))</f>
        <v>#N/A</v>
      </c>
      <c r="T48" s="5"/>
      <c r="U48" s="5"/>
      <c r="V48" s="5"/>
      <c r="W48" s="5"/>
    </row>
    <row r="49" spans="1:12" ht="15.75" thickBot="1" x14ac:dyDescent="0.3">
      <c r="A49" s="42"/>
      <c r="B49" s="52" t="s">
        <v>17</v>
      </c>
      <c r="C49" s="79" t="str">
        <f>IF(C45=0," ",VLOOKUP(P48,V3:W41,2,FALSE))</f>
        <v>з відштовхувачем</v>
      </c>
      <c r="D49" s="80" t="str">
        <f>IF(D45=0," ",VLOOKUP(R48,V3:W41,2,FALSE))</f>
        <v>з дотягувачем</v>
      </c>
      <c r="E49" s="44"/>
      <c r="F49" s="50"/>
      <c r="G49" s="44"/>
      <c r="H49" s="112"/>
      <c r="I49" s="113"/>
      <c r="J49" s="113"/>
      <c r="K49" s="113"/>
      <c r="L49" s="114"/>
    </row>
    <row r="50" spans="1:12" ht="15" customHeight="1" thickBot="1" x14ac:dyDescent="0.3">
      <c r="A50" s="42"/>
      <c r="B50" s="64"/>
      <c r="C50" s="65"/>
      <c r="D50" s="66"/>
      <c r="E50" s="67"/>
      <c r="F50" s="90" t="str">
        <f>IF(OR(N37&gt;40,H45=" ")," ","*при використанні стабілізатора глибину корпусу необхідно збільшити на +20мм")</f>
        <v>*при використанні стабілізатора глибину корпусу необхідно збільшити на +20мм</v>
      </c>
      <c r="G50" s="44"/>
      <c r="H50" s="44"/>
      <c r="I50" s="44"/>
      <c r="J50" s="44"/>
      <c r="K50" s="44"/>
      <c r="L50" s="45"/>
    </row>
    <row r="51" spans="1:12" ht="15" customHeight="1" x14ac:dyDescent="0.25">
      <c r="A51" s="42"/>
      <c r="B51" s="91" t="s">
        <v>18</v>
      </c>
      <c r="C51" s="91"/>
      <c r="D51" s="91"/>
      <c r="E51" s="17"/>
      <c r="F51" s="44"/>
      <c r="G51" s="44"/>
      <c r="H51" s="44"/>
      <c r="I51" s="44"/>
      <c r="J51" s="44"/>
      <c r="K51" s="44"/>
      <c r="L51" s="45"/>
    </row>
    <row r="52" spans="1:12" ht="11.25" customHeight="1" thickBot="1" x14ac:dyDescent="0.3">
      <c r="A52" s="57"/>
      <c r="B52" s="92"/>
      <c r="C52" s="92"/>
      <c r="D52" s="92"/>
      <c r="E52" s="92"/>
      <c r="F52" s="92"/>
      <c r="G52" s="58"/>
      <c r="H52" s="58"/>
      <c r="I52" s="58"/>
      <c r="J52" s="58"/>
      <c r="K52" s="58"/>
      <c r="L52" s="59"/>
    </row>
  </sheetData>
  <sheetProtection algorithmName="SHA-512" hashValue="ssDH+JEhhMozSmNvekTMvOwKUr0KXWDbJYxXibfJvwFwf4Dhmu01xMwWBrFiM5oMV9/UwxWutBrBjl7537JESg==" saltValue="iBT7AVlX1pTUs4fCytrQkQ==" spinCount="100000" sheet="1" objects="1" scenarios="1"/>
  <sortState xmlns:xlrd2="http://schemas.microsoft.com/office/spreadsheetml/2017/richdata2" ref="G4:L49">
    <sortCondition ref="J4:J49"/>
  </sortState>
  <mergeCells count="11">
    <mergeCell ref="M17:N18"/>
    <mergeCell ref="B2:F2"/>
    <mergeCell ref="B24:D24"/>
    <mergeCell ref="B28:F28"/>
    <mergeCell ref="H45:L49"/>
    <mergeCell ref="H18:L22"/>
    <mergeCell ref="B51:D51"/>
    <mergeCell ref="B52:F52"/>
    <mergeCell ref="B44:D44"/>
    <mergeCell ref="B17:D17"/>
    <mergeCell ref="B25:F25"/>
  </mergeCells>
  <phoneticPr fontId="8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Gennadiy.Kovalchuk</dc:creator>
  <cp:lastModifiedBy>Володько Наталья</cp:lastModifiedBy>
  <dcterms:created xsi:type="dcterms:W3CDTF">2020-06-22T06:52:41Z</dcterms:created>
  <dcterms:modified xsi:type="dcterms:W3CDTF">2025-09-10T10:25:01Z</dcterms:modified>
</cp:coreProperties>
</file>